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30" windowWidth="14445" windowHeight="6450" activeTab="0"/>
  </bookViews>
  <sheets>
    <sheet name="Explanation" sheetId="1" r:id="rId1"/>
    <sheet name="PMC 01" sheetId="2" r:id="rId2"/>
    <sheet name="PMC02" sheetId="3" r:id="rId3"/>
    <sheet name="PMC03" sheetId="4" r:id="rId4"/>
    <sheet name="PMC04" sheetId="5" r:id="rId5"/>
  </sheets>
  <definedNames>
    <definedName name="_xlnm.Print_Area" localSheetId="0">'Explanation'!$A$1:$F$20</definedName>
    <definedName name="_xlnm.Print_Area" localSheetId="1">'PMC 01'!$A$1:$R$192</definedName>
    <definedName name="_xlnm.Print_Area" localSheetId="2">'PMC02'!$A$1:$R$191</definedName>
    <definedName name="_xlnm.Print_Area" localSheetId="3">'PMC03'!$A$1:$R$188</definedName>
    <definedName name="_xlnm.Print_Area" localSheetId="4">'PMC04'!$A$1:$R$203</definedName>
  </definedNames>
  <calcPr fullCalcOnLoad="1"/>
</workbook>
</file>

<file path=xl/sharedStrings.xml><?xml version="1.0" encoding="utf-8"?>
<sst xmlns="http://schemas.openxmlformats.org/spreadsheetml/2006/main" count="2039" uniqueCount="206">
  <si>
    <t>€/pt</t>
  </si>
  <si>
    <t>Data base establishement</t>
  </si>
  <si>
    <t>Investment for the data base</t>
  </si>
  <si>
    <t>€</t>
  </si>
  <si>
    <t>€/year</t>
  </si>
  <si>
    <t>Measurement</t>
  </si>
  <si>
    <t>Total</t>
  </si>
  <si>
    <t>Valves</t>
  </si>
  <si>
    <t>Flanges</t>
  </si>
  <si>
    <t>Annualised cost (4%)</t>
  </si>
  <si>
    <t xml:space="preserve">Tightening </t>
  </si>
  <si>
    <t>€/first monitoring</t>
  </si>
  <si>
    <t>First monitoring of all points</t>
  </si>
  <si>
    <t>Tightening on leaking point &gt; 5000 ppm</t>
  </si>
  <si>
    <t>Basic maintenance during shutdown on leak &gt; 1000000 ppm</t>
  </si>
  <si>
    <t>€/operation</t>
  </si>
  <si>
    <t>€/basic maintenance</t>
  </si>
  <si>
    <t>Total first opération</t>
  </si>
  <si>
    <t>Basic maintenance on leaking point &gt; 100 000 ppm</t>
  </si>
  <si>
    <t>Control : monotoring of potential leaking points</t>
  </si>
  <si>
    <t>Total operation cost</t>
  </si>
  <si>
    <t>Total cost - €/pt</t>
  </si>
  <si>
    <t xml:space="preserve">Recovered VOC </t>
  </si>
  <si>
    <t>1 shutdown each 5 years</t>
  </si>
  <si>
    <t>Data base</t>
  </si>
  <si>
    <t>Basic maintenance</t>
  </si>
  <si>
    <t>Tightening</t>
  </si>
  <si>
    <t>Heavy maintenace</t>
  </si>
  <si>
    <t>% material</t>
  </si>
  <si>
    <t>% labour cost</t>
  </si>
  <si>
    <t>Labour demand - h</t>
  </si>
  <si>
    <t>€/h</t>
  </si>
  <si>
    <t>Emissions avoided with PMC 01</t>
  </si>
  <si>
    <t>Total emissions with PMC 01</t>
  </si>
  <si>
    <t>Total emissions with PMC 00</t>
  </si>
  <si>
    <t>Cost of the program</t>
  </si>
  <si>
    <t>Emissions elevated flare</t>
  </si>
  <si>
    <t>t VOC /year</t>
  </si>
  <si>
    <t xml:space="preserve">Basic maintenance </t>
  </si>
  <si>
    <t>Emissions</t>
  </si>
  <si>
    <t xml:space="preserve">Fugitive emissions from accessible points with PMC 00 </t>
  </si>
  <si>
    <t>Fugitive emissions  from non accessible points</t>
  </si>
  <si>
    <t xml:space="preserve">Stack emissions </t>
  </si>
  <si>
    <t>Total emissions with PMC 02</t>
  </si>
  <si>
    <t>Defaut Labour cost</t>
  </si>
  <si>
    <t>Total emissions with PMC 03</t>
  </si>
  <si>
    <t>Emissions avoided with PMC 03</t>
  </si>
  <si>
    <t>PMC 00</t>
  </si>
  <si>
    <t>PMC 01</t>
  </si>
  <si>
    <t>Gas valves</t>
  </si>
  <si>
    <t>kg/hr/pt</t>
  </si>
  <si>
    <t xml:space="preserve"> &lt;1000</t>
  </si>
  <si>
    <t>&gt; 100000</t>
  </si>
  <si>
    <t>Heavy maintenance</t>
  </si>
  <si>
    <t>Total investment</t>
  </si>
  <si>
    <t>Total first monitoring</t>
  </si>
  <si>
    <t>€/second monitoring</t>
  </si>
  <si>
    <t>Ranges of leaks - ppm</t>
  </si>
  <si>
    <t>1000 to 5000</t>
  </si>
  <si>
    <t>5000 to 10000</t>
  </si>
  <si>
    <t>10000 à 100000</t>
  </si>
  <si>
    <t>kg/year/pt</t>
  </si>
  <si>
    <t>%</t>
  </si>
  <si>
    <t>h/year</t>
  </si>
  <si>
    <t>First operation - tightening of leak &gt; 5000 ppm</t>
  </si>
  <si>
    <t>Efficiency of the tightening operation</t>
  </si>
  <si>
    <t>Efficiency of the basic maintenance</t>
  </si>
  <si>
    <t>Changes of valves with leaks &gt; 100 000 ppm</t>
  </si>
  <si>
    <t>Emissions after 5 years is nothing has been done</t>
  </si>
  <si>
    <t xml:space="preserve">After 5 years when tightening is operated </t>
  </si>
  <si>
    <t>Average on the five year period</t>
  </si>
  <si>
    <t>Production of the plant considered</t>
  </si>
  <si>
    <t>points</t>
  </si>
  <si>
    <t>% inaccessible points</t>
  </si>
  <si>
    <t>% accessible valves</t>
  </si>
  <si>
    <t>% accessibles flanges</t>
  </si>
  <si>
    <t>Material</t>
  </si>
  <si>
    <t>Labour costs</t>
  </si>
  <si>
    <t>pt</t>
  </si>
  <si>
    <t>First investment</t>
  </si>
  <si>
    <t>Total first tightening</t>
  </si>
  <si>
    <t>Total first basic maintenance</t>
  </si>
  <si>
    <t>Second checking of leaks</t>
  </si>
  <si>
    <t>Total second checking</t>
  </si>
  <si>
    <t>€/first operation</t>
  </si>
  <si>
    <t>Total first opeartion</t>
  </si>
  <si>
    <t>of points</t>
  </si>
  <si>
    <t>Total yearly control</t>
  </si>
  <si>
    <t>Total yearly tightening</t>
  </si>
  <si>
    <t>Total yearly basic maintenance</t>
  </si>
  <si>
    <t xml:space="preserve">Total </t>
  </si>
  <si>
    <t>Total cost</t>
  </si>
  <si>
    <t>Emissions of accessible points kg/pt/year</t>
  </si>
  <si>
    <t>Emissions of total points kg/pt/year</t>
  </si>
  <si>
    <t>€/t VOC non emitted</t>
  </si>
  <si>
    <t>€/t VOC recovered emitted</t>
  </si>
  <si>
    <t>€/heavy maintenance</t>
  </si>
  <si>
    <t>Changes of valves with leaks &gt; 10 000 ppm</t>
  </si>
  <si>
    <t>pegged value</t>
  </si>
  <si>
    <t>Levels of leaks</t>
  </si>
  <si>
    <t>Emissions of VOC according to SOCMI equations</t>
  </si>
  <si>
    <t>Light liquid valves</t>
  </si>
  <si>
    <t>Light liquid pumps</t>
  </si>
  <si>
    <t>Connectors</t>
  </si>
  <si>
    <t>Average valves+pumps</t>
  </si>
  <si>
    <t>Average emissions</t>
  </si>
  <si>
    <t xml:space="preserve">Average emissions </t>
  </si>
  <si>
    <t>Incresase in leaks after 5 years</t>
  </si>
  <si>
    <t>10000 to 100000</t>
  </si>
  <si>
    <t>Material cost - €/pt</t>
  </si>
  <si>
    <t>Labour demand - h/pt</t>
  </si>
  <si>
    <t>Labour cost - €/pt</t>
  </si>
  <si>
    <t>Country Labour cost</t>
  </si>
  <si>
    <t>Yearly control of leaks on 20 % of points</t>
  </si>
  <si>
    <t>Total annuald cost</t>
  </si>
  <si>
    <t xml:space="preserve">Value Recovered VOC </t>
  </si>
  <si>
    <t>Total - t</t>
  </si>
  <si>
    <t>Emissions from valves</t>
  </si>
  <si>
    <t>Emissions from flanges</t>
  </si>
  <si>
    <t>Efficiency</t>
  </si>
  <si>
    <t>kg/pt/year</t>
  </si>
  <si>
    <t xml:space="preserve">Annual cost </t>
  </si>
  <si>
    <t>Recovery of VOC</t>
  </si>
  <si>
    <t>Net cost of  reduction</t>
  </si>
  <si>
    <t>Total number of points of the plant</t>
  </si>
  <si>
    <t>Material cost</t>
  </si>
  <si>
    <t>Labour cost</t>
  </si>
  <si>
    <t>cost</t>
  </si>
  <si>
    <t>€/verification monitoring</t>
  </si>
  <si>
    <t>Annualized costs (4%)</t>
  </si>
  <si>
    <t>Annual costs between two scheduled shutdowns</t>
  </si>
  <si>
    <t>20 % of points each year</t>
  </si>
  <si>
    <t>Total annual cost</t>
  </si>
  <si>
    <t>Investments - Establishment of a first LDAR program</t>
  </si>
  <si>
    <t>Second control: Monitoring on potential leaking point</t>
  </si>
  <si>
    <t xml:space="preserve">Yearly action on 20 % points and 0,2 basic maintenance  </t>
  </si>
  <si>
    <t>Second control : monitoring of potential leaking points</t>
  </si>
  <si>
    <t>If nothing is done, emissions equal the</t>
  </si>
  <si>
    <t>emissions the first year in 10 years</t>
  </si>
  <si>
    <t>Average emissions when tightening is achieved</t>
  </si>
  <si>
    <t xml:space="preserve"> Average value for the five years between 2 shutdown</t>
  </si>
  <si>
    <t>Nothing is done</t>
  </si>
  <si>
    <t>Tightening each year</t>
  </si>
  <si>
    <t>Tightening on 20 % of points</t>
  </si>
  <si>
    <t>Average emissions on the period</t>
  </si>
  <si>
    <t>First operation - tightening of leak &gt; 1000 ppm</t>
  </si>
  <si>
    <t>Tightening on leaking point &gt; 1000 ppm</t>
  </si>
  <si>
    <t>Basic maintenance during shutdown on leak &gt; 10 000 ppm</t>
  </si>
  <si>
    <t>Emissions avoided with PMC 02</t>
  </si>
  <si>
    <t>Basic maintenance on leaking point &gt; 10 000 ppm</t>
  </si>
  <si>
    <t>Changes of valves with leaks &gt; 5 000 ppm</t>
  </si>
  <si>
    <t>Basic maintenance during shutdown on leak &gt; 5 000 ppm</t>
  </si>
  <si>
    <t>Basic maintenance on leaking point &gt; 5 000 ppm</t>
  </si>
  <si>
    <t>Heavy maintenance during shutdown on leak &gt; 10 000 ppm</t>
  </si>
  <si>
    <t>Heavy maintenance on leaking point &gt; 10 000 ppm</t>
  </si>
  <si>
    <t>Number of hours of work</t>
  </si>
  <si>
    <t>Percentage of leaks according to the ranges of leaks</t>
  </si>
  <si>
    <t>Fugitive emissions from accessible points with PMC 01</t>
  </si>
  <si>
    <t>Tightening on leaking points &gt; 5000 ppm</t>
  </si>
  <si>
    <t>Basic maintenance during shutdown on leaks &gt; 100 000 ppm</t>
  </si>
  <si>
    <t>Basic maintenance on leaking points &gt; 100 000 ppm</t>
  </si>
  <si>
    <t>Tightening on leaking points &gt; 1000 ppm</t>
  </si>
  <si>
    <t>Basic maintenance during shutdown on leaks &gt; 10000 ppm</t>
  </si>
  <si>
    <t>Second control: Monitoring on potential leaking points</t>
  </si>
  <si>
    <t>Basic maintenance on leaking points &gt; 10 000 ppm</t>
  </si>
  <si>
    <t>Changes of flanges with leaks &gt; 5 000 ppm</t>
  </si>
  <si>
    <t>Percentage of leaksaccording to the ranges of leaks</t>
  </si>
  <si>
    <t>Fugitive emissions from accessible points with PMC 03</t>
  </si>
  <si>
    <t>Basic maintenance during shutdown on leaks &gt; 5000 ppm</t>
  </si>
  <si>
    <t>Basic maintenance on leaking points &gt; 5 000 ppm</t>
  </si>
  <si>
    <t>Changes of flanges with leaks &gt; 10 000 ppm</t>
  </si>
  <si>
    <t>Changes of flanges with leaks &gt; 100 000 ppm</t>
  </si>
  <si>
    <t>Tightening on leaking points &gt; 1000 ppm (1000 to 10000 ppm for valves and flanges &gt; 1000 ppm)</t>
  </si>
  <si>
    <t>Heavy maintenance during shutdown on valves with leaks &gt; 10000 ppm</t>
  </si>
  <si>
    <t>Basic maintenance during shutdown on flanges with leaks &gt; 10000 ppm</t>
  </si>
  <si>
    <t>Basic maintenance on leaking flanges  &gt; 10 000 ppm</t>
  </si>
  <si>
    <t>Heavy maintenance on leaking valves &gt; 10 000 ppm</t>
  </si>
  <si>
    <t>Monitoring on potential leaking point</t>
  </si>
  <si>
    <t>€/t ethylene</t>
  </si>
  <si>
    <t>t/t VOC</t>
  </si>
  <si>
    <t>t VOC / t VOC</t>
  </si>
  <si>
    <t>t/year</t>
  </si>
  <si>
    <t>Downstream units</t>
  </si>
  <si>
    <t>€/t éthylene</t>
  </si>
  <si>
    <t>Emissions avoided with PMC 04</t>
  </si>
  <si>
    <t>Fugitive emissions from accessible points with PMC 04</t>
  </si>
  <si>
    <t>Total emissions with PMC 04</t>
  </si>
  <si>
    <t>PMC 04</t>
  </si>
  <si>
    <t>PMC 03</t>
  </si>
  <si>
    <t>PMC 02</t>
  </si>
  <si>
    <t>All costs are presented for the four primary measures PMC 01 to P¨MC 04</t>
  </si>
  <si>
    <t>For estimating country specific costs it is possible to change the following values:</t>
  </si>
  <si>
    <t>The results are in red and can be directly introduced in ECODAT</t>
  </si>
  <si>
    <t>Average VOC costs</t>
  </si>
  <si>
    <t xml:space="preserve">€/t VOC </t>
  </si>
  <si>
    <t>Fugitive emissions from accessible points with PMC 02</t>
  </si>
  <si>
    <t>The values which can be modified are in pink cells.</t>
  </si>
  <si>
    <t>The results are identified in red cells</t>
  </si>
  <si>
    <t>Investment cost €</t>
  </si>
  <si>
    <t>Operating cost €/year</t>
  </si>
  <si>
    <t>Total annual cost €/year</t>
  </si>
  <si>
    <t>Recovery of VOC €/year</t>
  </si>
  <si>
    <t>Emissions t NMVOC/year</t>
  </si>
  <si>
    <t>NMVOC emission reduced</t>
  </si>
  <si>
    <t>Unit costs €/t NMVOC non emitted</t>
  </si>
  <si>
    <t>Unit costs €/t NMVOC production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</si>
</sst>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\ _F_-;\-* #,##0.0\ _F_-;_-* &quot;-&quot;??\ _F_-;_-@_-"/>
    <numFmt numFmtId="179" formatCode="_-* #,##0\ _F_-;\-* #,##0\ _F_-;_-* &quot;-&quot;??\ _F_-;_-@_-"/>
    <numFmt numFmtId="180" formatCode="0.00000000"/>
    <numFmt numFmtId="181" formatCode="0.0%"/>
    <numFmt numFmtId="182" formatCode="0.000%"/>
    <numFmt numFmtId="183" formatCode="0.000000000"/>
    <numFmt numFmtId="184" formatCode="0.0000000000"/>
    <numFmt numFmtId="185" formatCode="&quot;Vrai&quot;;&quot;Vrai&quot;;&quot;Faux&quot;"/>
    <numFmt numFmtId="186" formatCode="&quot;Actif&quot;;&quot;Actif&quot;;&quot;Inactif&quot;"/>
    <numFmt numFmtId="187" formatCode="0.0000%"/>
    <numFmt numFmtId="188" formatCode="0.00000%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1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top"/>
    </xf>
    <xf numFmtId="177" fontId="1" fillId="2" borderId="1" xfId="0" applyNumberFormat="1" applyFont="1" applyFill="1" applyBorder="1" applyAlignment="1">
      <alignment horizontal="center" vertical="top"/>
    </xf>
    <xf numFmtId="10" fontId="1" fillId="2" borderId="1" xfId="0" applyNumberFormat="1" applyFont="1" applyFill="1" applyBorder="1" applyAlignment="1">
      <alignment horizontal="center" vertical="top"/>
    </xf>
    <xf numFmtId="10" fontId="1" fillId="2" borderId="1" xfId="21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177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1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/>
    </xf>
    <xf numFmtId="9" fontId="1" fillId="0" borderId="1" xfId="21" applyFont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74" fontId="0" fillId="2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vertical="top"/>
    </xf>
    <xf numFmtId="2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top"/>
    </xf>
    <xf numFmtId="177" fontId="0" fillId="2" borderId="1" xfId="0" applyNumberFormat="1" applyFont="1" applyFill="1" applyBorder="1" applyAlignment="1">
      <alignment/>
    </xf>
    <xf numFmtId="181" fontId="0" fillId="3" borderId="0" xfId="21" applyNumberFormat="1" applyFont="1" applyFill="1" applyAlignment="1">
      <alignment vertical="top"/>
    </xf>
    <xf numFmtId="181" fontId="0" fillId="3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vertical="top"/>
    </xf>
    <xf numFmtId="10" fontId="0" fillId="2" borderId="1" xfId="0" applyNumberFormat="1" applyFont="1" applyFill="1" applyBorder="1" applyAlignment="1">
      <alignment horizontal="center"/>
    </xf>
    <xf numFmtId="10" fontId="0" fillId="3" borderId="1" xfId="21" applyNumberFormat="1" applyFont="1" applyFill="1" applyBorder="1" applyAlignment="1">
      <alignment horizontal="center"/>
    </xf>
    <xf numFmtId="10" fontId="0" fillId="2" borderId="1" xfId="21" applyNumberFormat="1" applyFont="1" applyFill="1" applyBorder="1" applyAlignment="1">
      <alignment horizontal="center"/>
    </xf>
    <xf numFmtId="10" fontId="0" fillId="4" borderId="1" xfId="21" applyNumberFormat="1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5" borderId="0" xfId="0" applyNumberFormat="1" applyFont="1" applyFill="1" applyAlignment="1">
      <alignment/>
    </xf>
    <xf numFmtId="9" fontId="0" fillId="3" borderId="0" xfId="0" applyNumberFormat="1" applyFont="1" applyFill="1" applyAlignment="1">
      <alignment/>
    </xf>
    <xf numFmtId="9" fontId="0" fillId="0" borderId="1" xfId="0" applyNumberFormat="1" applyFont="1" applyBorder="1" applyAlignment="1">
      <alignment/>
    </xf>
    <xf numFmtId="1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" fontId="0" fillId="0" borderId="0" xfId="0" applyNumberFormat="1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1" fontId="0" fillId="2" borderId="4" xfId="0" applyNumberFormat="1" applyFont="1" applyFill="1" applyBorder="1" applyAlignment="1">
      <alignment vertical="top"/>
    </xf>
    <xf numFmtId="1" fontId="0" fillId="2" borderId="1" xfId="0" applyNumberFormat="1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177" fontId="0" fillId="2" borderId="0" xfId="0" applyNumberFormat="1" applyFont="1" applyFill="1" applyAlignment="1">
      <alignment vertical="top"/>
    </xf>
    <xf numFmtId="177" fontId="0" fillId="0" borderId="0" xfId="0" applyNumberFormat="1" applyFont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1" xfId="0" applyNumberFormat="1" applyFont="1" applyFill="1" applyBorder="1" applyAlignment="1">
      <alignment horizontal="center"/>
    </xf>
    <xf numFmtId="10" fontId="0" fillId="0" borderId="1" xfId="2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0" fontId="0" fillId="3" borderId="1" xfId="21" applyNumberFormat="1" applyFont="1" applyFill="1" applyBorder="1" applyAlignment="1">
      <alignment horizontal="center" vertical="top"/>
    </xf>
    <xf numFmtId="10" fontId="0" fillId="3" borderId="1" xfId="0" applyNumberFormat="1" applyFont="1" applyFill="1" applyBorder="1" applyAlignment="1">
      <alignment horizontal="center" vertical="top"/>
    </xf>
    <xf numFmtId="177" fontId="0" fillId="2" borderId="1" xfId="0" applyNumberFormat="1" applyFont="1" applyFill="1" applyBorder="1" applyAlignment="1">
      <alignment horizontal="center" vertical="top"/>
    </xf>
    <xf numFmtId="10" fontId="0" fillId="2" borderId="1" xfId="0" applyNumberFormat="1" applyFont="1" applyFill="1" applyBorder="1" applyAlignment="1">
      <alignment horizontal="center" vertical="top"/>
    </xf>
    <xf numFmtId="10" fontId="0" fillId="2" borderId="1" xfId="21" applyNumberFormat="1" applyFont="1" applyFill="1" applyBorder="1" applyAlignment="1">
      <alignment horizontal="center" vertical="top"/>
    </xf>
    <xf numFmtId="177" fontId="1" fillId="0" borderId="1" xfId="0" applyNumberFormat="1" applyFont="1" applyFill="1" applyBorder="1" applyAlignment="1">
      <alignment horizontal="center"/>
    </xf>
    <xf numFmtId="10" fontId="1" fillId="2" borderId="1" xfId="21" applyNumberFormat="1" applyFont="1" applyFill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1" fontId="0" fillId="2" borderId="0" xfId="0" applyNumberFormat="1" applyFont="1" applyFill="1" applyAlignment="1">
      <alignment/>
    </xf>
    <xf numFmtId="1" fontId="0" fillId="0" borderId="1" xfId="0" applyNumberFormat="1" applyFont="1" applyBorder="1" applyAlignment="1">
      <alignment vertical="top"/>
    </xf>
    <xf numFmtId="9" fontId="0" fillId="3" borderId="2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1" fontId="0" fillId="0" borderId="1" xfId="0" applyNumberFormat="1" applyFont="1" applyFill="1" applyBorder="1" applyAlignment="1">
      <alignment vertical="top"/>
    </xf>
    <xf numFmtId="1" fontId="1" fillId="0" borderId="1" xfId="0" applyNumberFormat="1" applyFont="1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 vertical="top"/>
    </xf>
    <xf numFmtId="10" fontId="0" fillId="2" borderId="1" xfId="21" applyNumberFormat="1" applyFont="1" applyFill="1" applyBorder="1" applyAlignment="1">
      <alignment/>
    </xf>
    <xf numFmtId="182" fontId="0" fillId="0" borderId="1" xfId="21" applyNumberFormat="1" applyFont="1" applyBorder="1" applyAlignment="1">
      <alignment/>
    </xf>
    <xf numFmtId="9" fontId="0" fillId="0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4" fillId="6" borderId="1" xfId="0" applyFont="1" applyFill="1" applyBorder="1" applyAlignment="1">
      <alignment vertical="top" wrapText="1"/>
    </xf>
    <xf numFmtId="0" fontId="4" fillId="6" borderId="3" xfId="0" applyFont="1" applyFill="1" applyBorder="1" applyAlignment="1">
      <alignment horizontal="right" vertical="top" wrapText="1"/>
    </xf>
    <xf numFmtId="0" fontId="5" fillId="6" borderId="6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77" fontId="0" fillId="5" borderId="0" xfId="0" applyNumberFormat="1" applyFont="1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vertical="top"/>
    </xf>
    <xf numFmtId="181" fontId="0" fillId="5" borderId="0" xfId="21" applyNumberFormat="1" applyFont="1" applyFill="1" applyAlignment="1">
      <alignment vertical="top"/>
    </xf>
    <xf numFmtId="0" fontId="0" fillId="5" borderId="0" xfId="21" applyNumberFormat="1" applyFont="1" applyFill="1" applyAlignment="1">
      <alignment vertical="top"/>
    </xf>
    <xf numFmtId="10" fontId="0" fillId="5" borderId="1" xfId="21" applyNumberFormat="1" applyFont="1" applyFill="1" applyBorder="1" applyAlignment="1">
      <alignment horizontal="center" vertical="top"/>
    </xf>
    <xf numFmtId="0" fontId="0" fillId="5" borderId="0" xfId="0" applyFont="1" applyFill="1" applyAlignment="1">
      <alignment/>
    </xf>
    <xf numFmtId="9" fontId="0" fillId="5" borderId="2" xfId="0" applyNumberFormat="1" applyFont="1" applyFill="1" applyBorder="1" applyAlignment="1">
      <alignment vertical="top" wrapText="1"/>
    </xf>
    <xf numFmtId="1" fontId="6" fillId="2" borderId="7" xfId="0" applyNumberFormat="1" applyFont="1" applyFill="1" applyBorder="1" applyAlignment="1">
      <alignment horizontal="center" wrapText="1"/>
    </xf>
    <xf numFmtId="1" fontId="5" fillId="2" borderId="7" xfId="0" applyNumberFormat="1" applyFont="1" applyFill="1" applyBorder="1" applyAlignment="1">
      <alignment horizontal="center" wrapText="1"/>
    </xf>
    <xf numFmtId="1" fontId="0" fillId="2" borderId="0" xfId="0" applyNumberFormat="1" applyFont="1" applyFill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1" fontId="7" fillId="2" borderId="7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4" fillId="2" borderId="7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10" fontId="1" fillId="5" borderId="1" xfId="21" applyNumberFormat="1" applyFont="1" applyFill="1" applyBorder="1" applyAlignment="1">
      <alignment horizontal="center" vertical="top"/>
    </xf>
    <xf numFmtId="10" fontId="0" fillId="3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10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 vertical="top"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6" fillId="2" borderId="1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0" fontId="1" fillId="5" borderId="0" xfId="0" applyFont="1" applyFill="1" applyAlignment="1">
      <alignment vertical="top"/>
    </xf>
    <xf numFmtId="9" fontId="1" fillId="5" borderId="0" xfId="21" applyFont="1" applyFill="1" applyAlignment="1">
      <alignment vertical="top"/>
    </xf>
    <xf numFmtId="1" fontId="1" fillId="3" borderId="0" xfId="0" applyNumberFormat="1" applyFont="1" applyFill="1" applyAlignment="1">
      <alignment/>
    </xf>
    <xf numFmtId="2" fontId="0" fillId="2" borderId="0" xfId="0" applyNumberFormat="1" applyFont="1" applyFill="1" applyBorder="1" applyAlignment="1">
      <alignment vertical="top"/>
    </xf>
    <xf numFmtId="1" fontId="1" fillId="5" borderId="0" xfId="0" applyNumberFormat="1" applyFont="1" applyFill="1" applyAlignment="1">
      <alignment vertical="top"/>
    </xf>
    <xf numFmtId="2" fontId="0" fillId="2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1" fillId="7" borderId="0" xfId="0" applyFont="1" applyFill="1" applyAlignment="1">
      <alignment vertical="top"/>
    </xf>
    <xf numFmtId="0" fontId="0" fillId="0" borderId="1" xfId="0" applyBorder="1" applyAlignment="1">
      <alignment/>
    </xf>
    <xf numFmtId="179" fontId="0" fillId="8" borderId="1" xfId="17" applyNumberFormat="1" applyFill="1" applyBorder="1" applyAlignment="1">
      <alignment/>
    </xf>
    <xf numFmtId="1" fontId="5" fillId="8" borderId="7" xfId="0" applyNumberFormat="1" applyFont="1" applyFill="1" applyBorder="1" applyAlignment="1">
      <alignment horizontal="center" wrapText="1"/>
    </xf>
    <xf numFmtId="0" fontId="0" fillId="8" borderId="0" xfId="0" applyFill="1" applyAlignment="1">
      <alignment/>
    </xf>
    <xf numFmtId="1" fontId="0" fillId="5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8" borderId="1" xfId="0" applyNumberFormat="1" applyFont="1" applyFill="1" applyBorder="1" applyAlignment="1">
      <alignment/>
    </xf>
    <xf numFmtId="177" fontId="0" fillId="8" borderId="1" xfId="0" applyNumberFormat="1" applyFill="1" applyBorder="1" applyAlignment="1">
      <alignment/>
    </xf>
    <xf numFmtId="179" fontId="0" fillId="0" borderId="0" xfId="0" applyNumberFormat="1" applyAlignment="1">
      <alignment/>
    </xf>
    <xf numFmtId="0" fontId="5" fillId="6" borderId="8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6" borderId="2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valves - PMC 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405"/>
          <c:w val="0.9315"/>
          <c:h val="0.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'PMC 01'!$S$39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'PMC 01'!$R$40:$R$45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01'!$S$40:$S$45</c:f>
              <c:numCache>
                <c:ptCount val="6"/>
                <c:pt idx="0">
                  <c:v>14.11419097694454</c:v>
                </c:pt>
                <c:pt idx="1">
                  <c:v>15.701210250190279</c:v>
                </c:pt>
                <c:pt idx="2">
                  <c:v>17.288229523436016</c:v>
                </c:pt>
                <c:pt idx="3">
                  <c:v>18.875248796681753</c:v>
                </c:pt>
                <c:pt idx="4">
                  <c:v>20.46226806992749</c:v>
                </c:pt>
                <c:pt idx="5">
                  <c:v>22.04928734317323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'PMC 01'!$T$39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'PMC 01'!$R$40:$R$45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01'!$T$40:$T$45</c:f>
              <c:numCache>
                <c:ptCount val="6"/>
                <c:pt idx="0">
                  <c:v>14.11419097694454</c:v>
                </c:pt>
                <c:pt idx="1">
                  <c:v>15.069455679220724</c:v>
                </c:pt>
                <c:pt idx="2">
                  <c:v>16.024720381496905</c:v>
                </c:pt>
                <c:pt idx="3">
                  <c:v>16.979985083773087</c:v>
                </c:pt>
                <c:pt idx="4">
                  <c:v>17.93524978604927</c:v>
                </c:pt>
                <c:pt idx="5">
                  <c:v>18.890514488325454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'PMC 01'!$U$39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'PMC 01'!$R$40:$R$45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01'!$U$40:$U$45</c:f>
              <c:numCache>
                <c:ptCount val="6"/>
                <c:pt idx="0">
                  <c:v>14.11419097694454</c:v>
                </c:pt>
                <c:pt idx="1">
                  <c:v>15.385332964705503</c:v>
                </c:pt>
                <c:pt idx="2">
                  <c:v>16.65647495246646</c:v>
                </c:pt>
                <c:pt idx="3">
                  <c:v>17.92761694022742</c:v>
                </c:pt>
                <c:pt idx="4">
                  <c:v>19.198758927988383</c:v>
                </c:pt>
                <c:pt idx="5">
                  <c:v>20.469900915749342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'PMC 01'!$V$39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'PMC 01'!$R$40:$R$45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01'!$V$40:$V$45</c:f>
              <c:numCache>
                <c:ptCount val="6"/>
                <c:pt idx="0">
                  <c:v>17.292045946346942</c:v>
                </c:pt>
                <c:pt idx="1">
                  <c:v>17.292045946346942</c:v>
                </c:pt>
                <c:pt idx="2">
                  <c:v>17.292045946346942</c:v>
                </c:pt>
                <c:pt idx="3">
                  <c:v>17.292045946346942</c:v>
                </c:pt>
                <c:pt idx="4">
                  <c:v>17.292045946346942</c:v>
                </c:pt>
                <c:pt idx="5">
                  <c:v>17.292045946346942</c:v>
                </c:pt>
              </c:numCache>
            </c:numRef>
          </c:yVal>
          <c:smooth val="0"/>
        </c:ser>
        <c:axId val="32141744"/>
        <c:axId val="20840241"/>
      </c:scatterChart>
      <c:valAx>
        <c:axId val="32141744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40241"/>
        <c:crosses val="autoZero"/>
        <c:crossBetween val="midCat"/>
        <c:dispUnits/>
        <c:majorUnit val="1"/>
      </c:valAx>
      <c:valAx>
        <c:axId val="2084024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1417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90675"/>
          <c:w val="0.79525"/>
          <c:h val="0.0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flanges - PMC 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575"/>
          <c:w val="0.9185"/>
          <c:h val="0.8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'PMC 01'!$S$47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'PMC 01'!$R$48:$R$53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01'!$S$48:$S$53</c:f>
              <c:numCache>
                <c:ptCount val="6"/>
                <c:pt idx="0">
                  <c:v>5.530766632166172</c:v>
                </c:pt>
                <c:pt idx="1">
                  <c:v>6.173810849305543</c:v>
                </c:pt>
                <c:pt idx="2">
                  <c:v>6.816855066444916</c:v>
                </c:pt>
                <c:pt idx="3">
                  <c:v>7.459899283584287</c:v>
                </c:pt>
                <c:pt idx="4">
                  <c:v>8.10294350072366</c:v>
                </c:pt>
                <c:pt idx="5">
                  <c:v>8.74598771786303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'PMC 01'!$T$47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'PMC 01'!$R$48:$R$53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01'!$T$48:$T$53</c:f>
              <c:numCache>
                <c:ptCount val="6"/>
                <c:pt idx="0">
                  <c:v>5.530766632166172</c:v>
                </c:pt>
                <c:pt idx="1">
                  <c:v>5.923707256891486</c:v>
                </c:pt>
                <c:pt idx="2">
                  <c:v>6.316647881616799</c:v>
                </c:pt>
                <c:pt idx="3">
                  <c:v>6.709588506342112</c:v>
                </c:pt>
                <c:pt idx="4">
                  <c:v>7.102529131067427</c:v>
                </c:pt>
                <c:pt idx="5">
                  <c:v>7.495469755792741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'PMC 01'!$U$47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'PMC 01'!$R$48:$R$53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01'!$U$48:$U$53</c:f>
              <c:numCache>
                <c:ptCount val="6"/>
                <c:pt idx="0">
                  <c:v>5.530766632166172</c:v>
                </c:pt>
                <c:pt idx="1">
                  <c:v>6.0487590530985145</c:v>
                </c:pt>
                <c:pt idx="2">
                  <c:v>6.566751474030857</c:v>
                </c:pt>
                <c:pt idx="3">
                  <c:v>7.0847438949632</c:v>
                </c:pt>
                <c:pt idx="4">
                  <c:v>7.602736315895544</c:v>
                </c:pt>
                <c:pt idx="5">
                  <c:v>8.120728736827887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'PMC 01'!$V$47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'PMC 01'!$R$48:$R$53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01'!$V$48:$V$53</c:f>
              <c:numCache>
                <c:ptCount val="6"/>
                <c:pt idx="0">
                  <c:v>6.8257476844970295</c:v>
                </c:pt>
                <c:pt idx="1">
                  <c:v>6.8257476844970295</c:v>
                </c:pt>
                <c:pt idx="2">
                  <c:v>6.8257476844970295</c:v>
                </c:pt>
                <c:pt idx="3">
                  <c:v>6.8257476844970295</c:v>
                </c:pt>
                <c:pt idx="4">
                  <c:v>6.8257476844970295</c:v>
                </c:pt>
                <c:pt idx="5">
                  <c:v>6.8257476844970295</c:v>
                </c:pt>
              </c:numCache>
            </c:numRef>
          </c:yVal>
          <c:smooth val="0"/>
        </c:ser>
        <c:axId val="53344442"/>
        <c:axId val="10337931"/>
      </c:scatterChart>
      <c:valAx>
        <c:axId val="5334444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7931"/>
        <c:crosses val="autoZero"/>
        <c:crossBetween val="midCat"/>
        <c:dispUnits/>
        <c:majorUnit val="1"/>
      </c:valAx>
      <c:valAx>
        <c:axId val="1033793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3444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89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Trends in emissions from valves over the year
Tightening and basic maintenance (PMC 01) for Valves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'PMC 01'!$S$56:$S$81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5.2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10.2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15.2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'PMC 01'!$T$56:$T$81</c:f>
              <c:numCache>
                <c:ptCount val="26"/>
                <c:pt idx="0">
                  <c:v>29.999767029661164</c:v>
                </c:pt>
                <c:pt idx="1">
                  <c:v>22.153902063411827</c:v>
                </c:pt>
                <c:pt idx="2">
                  <c:v>14.11419097694454</c:v>
                </c:pt>
                <c:pt idx="3">
                  <c:v>15.385332964705503</c:v>
                </c:pt>
                <c:pt idx="4">
                  <c:v>16.65647495246646</c:v>
                </c:pt>
                <c:pt idx="5">
                  <c:v>17.92761694022742</c:v>
                </c:pt>
                <c:pt idx="6">
                  <c:v>19.198758927988383</c:v>
                </c:pt>
                <c:pt idx="7">
                  <c:v>20.469900915749342</c:v>
                </c:pt>
                <c:pt idx="8">
                  <c:v>14.11419097694454</c:v>
                </c:pt>
                <c:pt idx="9">
                  <c:v>15.385332964705503</c:v>
                </c:pt>
                <c:pt idx="10">
                  <c:v>16.65647495246646</c:v>
                </c:pt>
                <c:pt idx="11">
                  <c:v>17.92761694022742</c:v>
                </c:pt>
                <c:pt idx="12">
                  <c:v>19.198758927988383</c:v>
                </c:pt>
                <c:pt idx="13">
                  <c:v>20.469900915749342</c:v>
                </c:pt>
                <c:pt idx="14">
                  <c:v>14.11419097694454</c:v>
                </c:pt>
                <c:pt idx="15">
                  <c:v>15.385332964705503</c:v>
                </c:pt>
                <c:pt idx="16">
                  <c:v>16.65647495246646</c:v>
                </c:pt>
                <c:pt idx="17">
                  <c:v>17.92761694022742</c:v>
                </c:pt>
                <c:pt idx="18">
                  <c:v>19.198758927988383</c:v>
                </c:pt>
                <c:pt idx="19">
                  <c:v>20.469900915749342</c:v>
                </c:pt>
                <c:pt idx="20">
                  <c:v>14.11419097694454</c:v>
                </c:pt>
                <c:pt idx="21">
                  <c:v>15.385332964705503</c:v>
                </c:pt>
                <c:pt idx="22">
                  <c:v>16.65647495246646</c:v>
                </c:pt>
                <c:pt idx="23">
                  <c:v>17.92761694022742</c:v>
                </c:pt>
                <c:pt idx="24">
                  <c:v>19.198758927988383</c:v>
                </c:pt>
                <c:pt idx="25">
                  <c:v>20.469900915749342</c:v>
                </c:pt>
              </c:numCache>
            </c:numRef>
          </c:yVal>
          <c:smooth val="0"/>
        </c:ser>
        <c:axId val="25932516"/>
        <c:axId val="32066053"/>
      </c:scatterChart>
      <c:valAx>
        <c:axId val="2593251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66053"/>
        <c:crosses val="autoZero"/>
        <c:crossBetween val="midCat"/>
        <c:dispUnits/>
      </c:valAx>
      <c:valAx>
        <c:axId val="32066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Emissions - kg/pt/year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9325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valves - PMC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25"/>
          <c:w val="0.93175"/>
          <c:h val="0.7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PMC02!$S$39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PMC02!$R$40:$R$45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PMC02!$S$40:$S$45</c:f>
              <c:numCache>
                <c:ptCount val="6"/>
                <c:pt idx="0">
                  <c:v>12.98819411671218</c:v>
                </c:pt>
                <c:pt idx="1">
                  <c:v>14.688918589557662</c:v>
                </c:pt>
                <c:pt idx="2">
                  <c:v>16.389643062403145</c:v>
                </c:pt>
                <c:pt idx="3">
                  <c:v>18.090367535248625</c:v>
                </c:pt>
                <c:pt idx="4">
                  <c:v>19.791092008094104</c:v>
                </c:pt>
                <c:pt idx="5">
                  <c:v>21.491816480939587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PMC02!$T$39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PMC02!$R$40:$R$45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PMC02!$T$40:$T$45</c:f>
              <c:numCache>
                <c:ptCount val="6"/>
                <c:pt idx="0">
                  <c:v>12.98819411671218</c:v>
                </c:pt>
                <c:pt idx="1">
                  <c:v>14.062315837651095</c:v>
                </c:pt>
                <c:pt idx="2">
                  <c:v>15.136437558590009</c:v>
                </c:pt>
                <c:pt idx="3">
                  <c:v>16.210559279528923</c:v>
                </c:pt>
                <c:pt idx="4">
                  <c:v>17.284681000467835</c:v>
                </c:pt>
                <c:pt idx="5">
                  <c:v>18.358802721406747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PMC02!$U$39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PMC02!$R$40:$R$45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PMC02!$U$40:$U$45</c:f>
              <c:numCache>
                <c:ptCount val="6"/>
                <c:pt idx="0">
                  <c:v>12.98819411671218</c:v>
                </c:pt>
                <c:pt idx="1">
                  <c:v>14.375617213604379</c:v>
                </c:pt>
                <c:pt idx="2">
                  <c:v>15.763040310496574</c:v>
                </c:pt>
                <c:pt idx="3">
                  <c:v>17.15046340738877</c:v>
                </c:pt>
                <c:pt idx="4">
                  <c:v>18.53788650428097</c:v>
                </c:pt>
                <c:pt idx="5">
                  <c:v>19.92530960117317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PMC02!$V$39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PMC02!$R$40:$R$45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PMC02!$V$40:$V$45</c:f>
              <c:numCache>
                <c:ptCount val="6"/>
                <c:pt idx="0">
                  <c:v>16.456751858942674</c:v>
                </c:pt>
                <c:pt idx="1">
                  <c:v>16.456751858942674</c:v>
                </c:pt>
                <c:pt idx="2">
                  <c:v>16.456751858942674</c:v>
                </c:pt>
                <c:pt idx="3">
                  <c:v>16.456751858942674</c:v>
                </c:pt>
                <c:pt idx="4">
                  <c:v>16.456751858942674</c:v>
                </c:pt>
                <c:pt idx="5">
                  <c:v>16.456751858942674</c:v>
                </c:pt>
              </c:numCache>
            </c:numRef>
          </c:yVal>
          <c:smooth val="0"/>
        </c:ser>
        <c:axId val="20159022"/>
        <c:axId val="47213471"/>
      </c:scatterChart>
      <c:valAx>
        <c:axId val="2015902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13471"/>
        <c:crosses val="autoZero"/>
        <c:crossBetween val="midCat"/>
        <c:dispUnits/>
        <c:majorUnit val="1"/>
      </c:valAx>
      <c:valAx>
        <c:axId val="4721347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01590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90675"/>
          <c:w val="0.79525"/>
          <c:h val="0.0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flanges - PMC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225"/>
          <c:w val="0.906"/>
          <c:h val="0.811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PMC02!$S$47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PMC02!$R$48:$R$53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PMC02!$S$48:$S$53</c:f>
              <c:numCache>
                <c:ptCount val="6"/>
                <c:pt idx="0">
                  <c:v>5.233645567988759</c:v>
                </c:pt>
                <c:pt idx="1">
                  <c:v>5.906877671333974</c:v>
                </c:pt>
                <c:pt idx="2">
                  <c:v>6.58010977467919</c:v>
                </c:pt>
                <c:pt idx="3">
                  <c:v>7.253341878024404</c:v>
                </c:pt>
                <c:pt idx="4">
                  <c:v>7.92657398136962</c:v>
                </c:pt>
                <c:pt idx="5">
                  <c:v>8.599806084714835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PMC02!$T$47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PMC02!$R$48:$R$53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PMC02!$T$48:$T$53</c:f>
              <c:numCache>
                <c:ptCount val="6"/>
                <c:pt idx="0">
                  <c:v>5.233645567988759</c:v>
                </c:pt>
                <c:pt idx="1">
                  <c:v>5.660796143268414</c:v>
                </c:pt>
                <c:pt idx="2">
                  <c:v>6.08794671854807</c:v>
                </c:pt>
                <c:pt idx="3">
                  <c:v>6.515097293827724</c:v>
                </c:pt>
                <c:pt idx="4">
                  <c:v>6.94224786910738</c:v>
                </c:pt>
                <c:pt idx="5">
                  <c:v>7.369398444387035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PMC02!$U$47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PMC02!$R$48:$R$53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PMC02!$U$48:$U$53</c:f>
              <c:numCache>
                <c:ptCount val="6"/>
                <c:pt idx="0">
                  <c:v>5.233645567988759</c:v>
                </c:pt>
                <c:pt idx="1">
                  <c:v>5.783836907301195</c:v>
                </c:pt>
                <c:pt idx="2">
                  <c:v>6.334028246613629</c:v>
                </c:pt>
                <c:pt idx="3">
                  <c:v>6.884219585926064</c:v>
                </c:pt>
                <c:pt idx="4">
                  <c:v>7.434410925238501</c:v>
                </c:pt>
                <c:pt idx="5">
                  <c:v>7.984602264550936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PMC02!$V$47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PMC02!$R$48:$R$53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PMC02!$V$48:$V$53</c:f>
              <c:numCache>
                <c:ptCount val="6"/>
                <c:pt idx="0">
                  <c:v>6.609123916269848</c:v>
                </c:pt>
                <c:pt idx="1">
                  <c:v>6.609123916269848</c:v>
                </c:pt>
                <c:pt idx="2">
                  <c:v>6.609123916269848</c:v>
                </c:pt>
                <c:pt idx="3">
                  <c:v>6.609123916269848</c:v>
                </c:pt>
                <c:pt idx="4">
                  <c:v>6.609123916269848</c:v>
                </c:pt>
                <c:pt idx="5">
                  <c:v>6.609123916269848</c:v>
                </c:pt>
              </c:numCache>
            </c:numRef>
          </c:yVal>
          <c:smooth val="0"/>
        </c:ser>
        <c:axId val="22268056"/>
        <c:axId val="66194777"/>
      </c:scatterChart>
      <c:valAx>
        <c:axId val="2226805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94777"/>
        <c:crosses val="autoZero"/>
        <c:crossBetween val="midCat"/>
        <c:dispUnits/>
        <c:majorUnit val="1"/>
      </c:valAx>
      <c:valAx>
        <c:axId val="66194777"/>
        <c:scaling>
          <c:orientation val="minMax"/>
          <c:max val="14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22680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8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valves - PMC 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6275"/>
          <c:w val="0.9185"/>
          <c:h val="0.6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PMC03!$S$39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PMC03!$R$40:$R$45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PMC03!$S$40:$S$45</c:f>
              <c:numCache>
                <c:ptCount val="6"/>
                <c:pt idx="0">
                  <c:v>12.87823466770418</c:v>
                </c:pt>
                <c:pt idx="1">
                  <c:v>14.590143587363047</c:v>
                </c:pt>
                <c:pt idx="2">
                  <c:v>16.302052507021912</c:v>
                </c:pt>
                <c:pt idx="3">
                  <c:v>18.01396142668078</c:v>
                </c:pt>
                <c:pt idx="4">
                  <c:v>19.725870346339644</c:v>
                </c:pt>
                <c:pt idx="5">
                  <c:v>21.43777926599851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PMC03!$T$39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PMC03!$R$40:$R$45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PMC03!$T$40:$T$45</c:f>
              <c:numCache>
                <c:ptCount val="6"/>
                <c:pt idx="0">
                  <c:v>12.87823466770418</c:v>
                </c:pt>
                <c:pt idx="1">
                  <c:v>13.965416507380052</c:v>
                </c:pt>
                <c:pt idx="2">
                  <c:v>15.052598347055927</c:v>
                </c:pt>
                <c:pt idx="3">
                  <c:v>16.1397801867318</c:v>
                </c:pt>
                <c:pt idx="4">
                  <c:v>17.226962026407673</c:v>
                </c:pt>
                <c:pt idx="5">
                  <c:v>18.314143866083544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PMC03!$U$39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PMC03!$R$40:$R$45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PMC03!$U$40:$U$45</c:f>
              <c:numCache>
                <c:ptCount val="6"/>
                <c:pt idx="0">
                  <c:v>12.87823466770418</c:v>
                </c:pt>
                <c:pt idx="1">
                  <c:v>14.27778004737155</c:v>
                </c:pt>
                <c:pt idx="2">
                  <c:v>15.67732542703892</c:v>
                </c:pt>
                <c:pt idx="3">
                  <c:v>17.07687080670629</c:v>
                </c:pt>
                <c:pt idx="4">
                  <c:v>18.47641618637366</c:v>
                </c:pt>
                <c:pt idx="5">
                  <c:v>19.875961566041028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PMC03!$V$39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PMC03!$R$40:$R$45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PMC03!$V$40:$V$45</c:f>
              <c:numCache>
                <c:ptCount val="6"/>
                <c:pt idx="0">
                  <c:v>16.377098116872602</c:v>
                </c:pt>
                <c:pt idx="1">
                  <c:v>16.377098116872602</c:v>
                </c:pt>
                <c:pt idx="2">
                  <c:v>16.377098116872602</c:v>
                </c:pt>
                <c:pt idx="3">
                  <c:v>16.377098116872602</c:v>
                </c:pt>
                <c:pt idx="4">
                  <c:v>16.377098116872602</c:v>
                </c:pt>
                <c:pt idx="5">
                  <c:v>16.377098116872602</c:v>
                </c:pt>
              </c:numCache>
            </c:numRef>
          </c:yVal>
          <c:smooth val="0"/>
        </c:ser>
        <c:axId val="58882082"/>
        <c:axId val="60176691"/>
      </c:scatterChart>
      <c:valAx>
        <c:axId val="5888208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76691"/>
        <c:crosses val="autoZero"/>
        <c:crossBetween val="midCat"/>
        <c:dispUnits/>
        <c:majorUnit val="1"/>
      </c:valAx>
      <c:valAx>
        <c:axId val="60176691"/>
        <c:scaling>
          <c:orientation val="minMax"/>
          <c:max val="2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88820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878"/>
          <c:w val="0.79375"/>
          <c:h val="0.1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flanges - PMC 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85"/>
          <c:w val="0.89175"/>
          <c:h val="0.734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PMC03!$S$47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PMC03!$R$48:$R$53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PMC03!$S$48:$S$53</c:f>
              <c:numCache>
                <c:ptCount val="6"/>
                <c:pt idx="0">
                  <c:v>5.180612698361806</c:v>
                </c:pt>
                <c:pt idx="1">
                  <c:v>5.859239002160505</c:v>
                </c:pt>
                <c:pt idx="2">
                  <c:v>6.537865305959205</c:v>
                </c:pt>
                <c:pt idx="3">
                  <c:v>7.216491609757904</c:v>
                </c:pt>
                <c:pt idx="4">
                  <c:v>7.895117913556604</c:v>
                </c:pt>
                <c:pt idx="5">
                  <c:v>8.573744217355303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PMC03!$T$47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PMC03!$R$48:$R$53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PMC03!$T$48:$T$53</c:f>
              <c:numCache>
                <c:ptCount val="6"/>
                <c:pt idx="0">
                  <c:v>5.180612698361806</c:v>
                </c:pt>
                <c:pt idx="1">
                  <c:v>5.614062100895855</c:v>
                </c:pt>
                <c:pt idx="2">
                  <c:v>6.047511503429904</c:v>
                </c:pt>
                <c:pt idx="3">
                  <c:v>6.480960905963952</c:v>
                </c:pt>
                <c:pt idx="4">
                  <c:v>6.914410308498001</c:v>
                </c:pt>
                <c:pt idx="5">
                  <c:v>7.347859711032051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PMC03!$U$47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PMC03!$R$48:$R$53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PMC03!$U$48:$U$53</c:f>
              <c:numCache>
                <c:ptCount val="6"/>
                <c:pt idx="0">
                  <c:v>5.180612698361806</c:v>
                </c:pt>
                <c:pt idx="1">
                  <c:v>5.7366505515281805</c:v>
                </c:pt>
                <c:pt idx="2">
                  <c:v>6.2926884046945535</c:v>
                </c:pt>
                <c:pt idx="3">
                  <c:v>6.848726257860928</c:v>
                </c:pt>
                <c:pt idx="4">
                  <c:v>7.404764111027303</c:v>
                </c:pt>
                <c:pt idx="5">
                  <c:v>7.960801964193678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PMC03!$V$47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PMC03!$R$48:$R$53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PMC03!$V$48:$V$53</c:f>
              <c:numCache>
                <c:ptCount val="6"/>
                <c:pt idx="0">
                  <c:v>6.570707331277742</c:v>
                </c:pt>
                <c:pt idx="1">
                  <c:v>6.570707331277742</c:v>
                </c:pt>
                <c:pt idx="2">
                  <c:v>6.570707331277742</c:v>
                </c:pt>
                <c:pt idx="3">
                  <c:v>6.570707331277742</c:v>
                </c:pt>
                <c:pt idx="4">
                  <c:v>6.570707331277742</c:v>
                </c:pt>
                <c:pt idx="5">
                  <c:v>6.570707331277742</c:v>
                </c:pt>
              </c:numCache>
            </c:numRef>
          </c:yVal>
          <c:smooth val="0"/>
        </c:ser>
        <c:axId val="4719308"/>
        <c:axId val="42473773"/>
      </c:scatterChart>
      <c:valAx>
        <c:axId val="471930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73773"/>
        <c:crosses val="autoZero"/>
        <c:crossBetween val="midCat"/>
        <c:dispUnits/>
        <c:majorUnit val="1"/>
      </c:valAx>
      <c:valAx>
        <c:axId val="42473773"/>
        <c:scaling>
          <c:orientation val="minMax"/>
          <c:max val="14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7193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5"/>
          <c:y val="0.8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valves - PMC 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525"/>
          <c:w val="0.932"/>
          <c:h val="0.71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PMC04!$S$39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PMC04!$R$40:$R$45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PMC04!$S$40:$S$45</c:f>
              <c:numCache>
                <c:ptCount val="6"/>
                <c:pt idx="0">
                  <c:v>3.944644438429291</c:v>
                </c:pt>
                <c:pt idx="1">
                  <c:v>6.522593230068212</c:v>
                </c:pt>
                <c:pt idx="2">
                  <c:v>9.100542021707131</c:v>
                </c:pt>
                <c:pt idx="3">
                  <c:v>11.678490813346052</c:v>
                </c:pt>
                <c:pt idx="4">
                  <c:v>14.256439604984973</c:v>
                </c:pt>
                <c:pt idx="5">
                  <c:v>16.834388396623893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PMC04!$T$39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PMC04!$R$40:$R$45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PMC04!$T$40:$T$45</c:f>
              <c:numCache>
                <c:ptCount val="6"/>
                <c:pt idx="0">
                  <c:v>3.944644438429291</c:v>
                </c:pt>
                <c:pt idx="1">
                  <c:v>6.057653271170949</c:v>
                </c:pt>
                <c:pt idx="2">
                  <c:v>8.170662103912607</c:v>
                </c:pt>
                <c:pt idx="3">
                  <c:v>10.283670936654264</c:v>
                </c:pt>
                <c:pt idx="4">
                  <c:v>12.396679769395924</c:v>
                </c:pt>
                <c:pt idx="5">
                  <c:v>14.509688602137581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PMC04!$U$39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PMC04!$R$40:$R$45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PMC04!$U$40:$U$45</c:f>
              <c:numCache>
                <c:ptCount val="6"/>
                <c:pt idx="0">
                  <c:v>3.944644438429291</c:v>
                </c:pt>
                <c:pt idx="1">
                  <c:v>6.29012325061958</c:v>
                </c:pt>
                <c:pt idx="2">
                  <c:v>8.63560206280987</c:v>
                </c:pt>
                <c:pt idx="3">
                  <c:v>10.98108087500016</c:v>
                </c:pt>
                <c:pt idx="4">
                  <c:v>13.326559687190448</c:v>
                </c:pt>
                <c:pt idx="5">
                  <c:v>15.672038499380738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PMC04!$V$39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PMC04!$R$40:$R$45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PMC04!$V$40:$V$45</c:f>
              <c:numCache>
                <c:ptCount val="6"/>
                <c:pt idx="0">
                  <c:v>9.808341468905013</c:v>
                </c:pt>
                <c:pt idx="1">
                  <c:v>9.808341468905013</c:v>
                </c:pt>
                <c:pt idx="2">
                  <c:v>9.808341468905013</c:v>
                </c:pt>
                <c:pt idx="3">
                  <c:v>9.808341468905013</c:v>
                </c:pt>
                <c:pt idx="4">
                  <c:v>9.808341468905013</c:v>
                </c:pt>
                <c:pt idx="5">
                  <c:v>9.808341468905013</c:v>
                </c:pt>
              </c:numCache>
            </c:numRef>
          </c:yVal>
          <c:smooth val="0"/>
        </c:ser>
        <c:axId val="46719638"/>
        <c:axId val="17823559"/>
      </c:scatterChart>
      <c:valAx>
        <c:axId val="4671963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23559"/>
        <c:crosses val="autoZero"/>
        <c:crossBetween val="midCat"/>
        <c:dispUnits/>
        <c:majorUnit val="1"/>
      </c:valAx>
      <c:valAx>
        <c:axId val="17823559"/>
        <c:scaling>
          <c:orientation val="minMax"/>
          <c:max val="2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67196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"/>
          <c:y val="0.89675"/>
          <c:w val="0.79525"/>
          <c:h val="0.1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flanges - PMC 04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575"/>
          <c:w val="0.9185"/>
          <c:h val="0.803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PMC04!$S$47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PMC04!$R$48:$R$53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PMC04!$S$48:$S$53</c:f>
              <c:numCache>
                <c:ptCount val="6"/>
                <c:pt idx="0">
                  <c:v>5.233645567988759</c:v>
                </c:pt>
                <c:pt idx="1">
                  <c:v>5.906877671333974</c:v>
                </c:pt>
                <c:pt idx="2">
                  <c:v>6.58010977467919</c:v>
                </c:pt>
                <c:pt idx="3">
                  <c:v>7.253341878024404</c:v>
                </c:pt>
                <c:pt idx="4">
                  <c:v>7.92657398136962</c:v>
                </c:pt>
                <c:pt idx="5">
                  <c:v>8.599806084714835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PMC04!$T$47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PMC04!$R$48:$R$53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PMC04!$T$48:$T$53</c:f>
              <c:numCache>
                <c:ptCount val="6"/>
                <c:pt idx="0">
                  <c:v>5.233645567988759</c:v>
                </c:pt>
                <c:pt idx="1">
                  <c:v>5.660796143268414</c:v>
                </c:pt>
                <c:pt idx="2">
                  <c:v>6.08794671854807</c:v>
                </c:pt>
                <c:pt idx="3">
                  <c:v>6.515097293827724</c:v>
                </c:pt>
                <c:pt idx="4">
                  <c:v>6.94224786910738</c:v>
                </c:pt>
                <c:pt idx="5">
                  <c:v>7.369398444387035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PMC04!$U$47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PMC04!$R$48:$R$53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PMC04!$U$48:$U$53</c:f>
              <c:numCache>
                <c:ptCount val="6"/>
                <c:pt idx="0">
                  <c:v>5.233645567988759</c:v>
                </c:pt>
                <c:pt idx="1">
                  <c:v>5.783836907301195</c:v>
                </c:pt>
                <c:pt idx="2">
                  <c:v>6.334028246613629</c:v>
                </c:pt>
                <c:pt idx="3">
                  <c:v>6.884219585926064</c:v>
                </c:pt>
                <c:pt idx="4">
                  <c:v>7.434410925238501</c:v>
                </c:pt>
                <c:pt idx="5">
                  <c:v>7.984602264550936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PMC04!$V$47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PMC04!$R$48:$R$53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PMC04!$V$48:$V$53</c:f>
              <c:numCache>
                <c:ptCount val="6"/>
                <c:pt idx="0">
                  <c:v>6.609123916269848</c:v>
                </c:pt>
                <c:pt idx="1">
                  <c:v>6.609123916269848</c:v>
                </c:pt>
                <c:pt idx="2">
                  <c:v>6.609123916269848</c:v>
                </c:pt>
                <c:pt idx="3">
                  <c:v>6.609123916269848</c:v>
                </c:pt>
                <c:pt idx="4">
                  <c:v>6.609123916269848</c:v>
                </c:pt>
                <c:pt idx="5">
                  <c:v>6.609123916269848</c:v>
                </c:pt>
              </c:numCache>
            </c:numRef>
          </c:yVal>
          <c:smooth val="0"/>
        </c:ser>
        <c:axId val="26194304"/>
        <c:axId val="34422145"/>
      </c:scatterChart>
      <c:valAx>
        <c:axId val="26194304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crossBetween val="midCat"/>
        <c:dispUnits/>
        <c:majorUnit val="1"/>
      </c:valAx>
      <c:valAx>
        <c:axId val="34422145"/>
        <c:scaling>
          <c:orientation val="minMax"/>
          <c:max val="14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1943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8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0</xdr:rowOff>
    </xdr:from>
    <xdr:to>
      <xdr:col>25</xdr:col>
      <xdr:colOff>19050</xdr:colOff>
      <xdr:row>27</xdr:row>
      <xdr:rowOff>104775</xdr:rowOff>
    </xdr:to>
    <xdr:graphicFrame>
      <xdr:nvGraphicFramePr>
        <xdr:cNvPr id="1" name="Chart 22"/>
        <xdr:cNvGraphicFramePr/>
      </xdr:nvGraphicFramePr>
      <xdr:xfrm>
        <a:off x="22964775" y="0"/>
        <a:ext cx="53435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9525</xdr:colOff>
      <xdr:row>0</xdr:row>
      <xdr:rowOff>38100</xdr:rowOff>
    </xdr:from>
    <xdr:to>
      <xdr:col>33</xdr:col>
      <xdr:colOff>28575</xdr:colOff>
      <xdr:row>25</xdr:row>
      <xdr:rowOff>19050</xdr:rowOff>
    </xdr:to>
    <xdr:graphicFrame>
      <xdr:nvGraphicFramePr>
        <xdr:cNvPr id="2" name="Chart 23"/>
        <xdr:cNvGraphicFramePr/>
      </xdr:nvGraphicFramePr>
      <xdr:xfrm>
        <a:off x="29060775" y="38100"/>
        <a:ext cx="53530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55</xdr:row>
      <xdr:rowOff>114300</xdr:rowOff>
    </xdr:from>
    <xdr:to>
      <xdr:col>25</xdr:col>
      <xdr:colOff>666750</xdr:colOff>
      <xdr:row>74</xdr:row>
      <xdr:rowOff>142875</xdr:rowOff>
    </xdr:to>
    <xdr:graphicFrame>
      <xdr:nvGraphicFramePr>
        <xdr:cNvPr id="3" name="Chart 52"/>
        <xdr:cNvGraphicFramePr/>
      </xdr:nvGraphicFramePr>
      <xdr:xfrm>
        <a:off x="24564975" y="9991725"/>
        <a:ext cx="43910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28575</xdr:rowOff>
    </xdr:from>
    <xdr:to>
      <xdr:col>25</xdr:col>
      <xdr:colOff>19050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3098125" y="28575"/>
        <a:ext cx="53435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9525</xdr:colOff>
      <xdr:row>0</xdr:row>
      <xdr:rowOff>38100</xdr:rowOff>
    </xdr:from>
    <xdr:to>
      <xdr:col>33</xdr:col>
      <xdr:colOff>28575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9194125" y="38100"/>
        <a:ext cx="53530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25</xdr:col>
      <xdr:colOff>19050</xdr:colOff>
      <xdr:row>25</xdr:row>
      <xdr:rowOff>19050</xdr:rowOff>
    </xdr:to>
    <xdr:graphicFrame>
      <xdr:nvGraphicFramePr>
        <xdr:cNvPr id="1" name="Chart 9"/>
        <xdr:cNvGraphicFramePr/>
      </xdr:nvGraphicFramePr>
      <xdr:xfrm>
        <a:off x="21840825" y="0"/>
        <a:ext cx="53530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33</xdr:col>
      <xdr:colOff>28575</xdr:colOff>
      <xdr:row>24</xdr:row>
      <xdr:rowOff>133350</xdr:rowOff>
    </xdr:to>
    <xdr:graphicFrame>
      <xdr:nvGraphicFramePr>
        <xdr:cNvPr id="2" name="Chart 10"/>
        <xdr:cNvGraphicFramePr/>
      </xdr:nvGraphicFramePr>
      <xdr:xfrm>
        <a:off x="27936825" y="0"/>
        <a:ext cx="5362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28575</xdr:rowOff>
    </xdr:from>
    <xdr:to>
      <xdr:col>25</xdr:col>
      <xdr:colOff>19050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3031450" y="28575"/>
        <a:ext cx="5343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9525</xdr:colOff>
      <xdr:row>0</xdr:row>
      <xdr:rowOff>38100</xdr:rowOff>
    </xdr:from>
    <xdr:to>
      <xdr:col>33</xdr:col>
      <xdr:colOff>28575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9127450" y="38100"/>
        <a:ext cx="53530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3">
      <selection activeCell="F7" sqref="F7"/>
    </sheetView>
  </sheetViews>
  <sheetFormatPr defaultColWidth="11.421875" defaultRowHeight="12.75"/>
  <cols>
    <col min="1" max="1" width="23.28125" style="0" customWidth="1"/>
    <col min="5" max="5" width="13.28125" style="0" customWidth="1"/>
  </cols>
  <sheetData>
    <row r="1" ht="12.75">
      <c r="A1" t="s">
        <v>190</v>
      </c>
    </row>
    <row r="2" spans="1:5" ht="12.75">
      <c r="A2" t="s">
        <v>196</v>
      </c>
      <c r="E2" s="153"/>
    </row>
    <row r="3" spans="1:5" ht="12.75">
      <c r="A3" t="s">
        <v>197</v>
      </c>
      <c r="E3" s="159"/>
    </row>
    <row r="4" ht="12.75">
      <c r="A4" t="s">
        <v>191</v>
      </c>
    </row>
    <row r="6" spans="1:3" ht="12.75">
      <c r="A6" s="25" t="s">
        <v>112</v>
      </c>
      <c r="B6" s="154">
        <v>24.3</v>
      </c>
      <c r="C6" s="25" t="s">
        <v>31</v>
      </c>
    </row>
    <row r="7" spans="1:3" ht="12.75">
      <c r="A7" s="25" t="s">
        <v>193</v>
      </c>
      <c r="B7" s="155">
        <v>400</v>
      </c>
      <c r="C7" s="26" t="s">
        <v>194</v>
      </c>
    </row>
    <row r="9" ht="12.75">
      <c r="A9" t="s">
        <v>192</v>
      </c>
    </row>
    <row r="11" spans="1:5" ht="12.75">
      <c r="A11" s="156"/>
      <c r="B11" s="156" t="s">
        <v>48</v>
      </c>
      <c r="C11" s="156" t="s">
        <v>189</v>
      </c>
      <c r="D11" s="156" t="s">
        <v>188</v>
      </c>
      <c r="E11" s="156" t="s">
        <v>187</v>
      </c>
    </row>
    <row r="12" spans="1:5" ht="12.75">
      <c r="A12" s="156" t="s">
        <v>198</v>
      </c>
      <c r="B12" s="157">
        <f>+'PMC 01'!I181</f>
        <v>79776</v>
      </c>
      <c r="C12" s="157">
        <f>+PMC02!I181</f>
        <v>85296</v>
      </c>
      <c r="D12" s="157">
        <f>+PMC03!I178</f>
        <v>88924.8</v>
      </c>
      <c r="E12" s="157">
        <f>+PMC04!I190</f>
        <v>157871.99999999994</v>
      </c>
    </row>
    <row r="13" spans="1:5" ht="12.75">
      <c r="A13" s="156" t="s">
        <v>199</v>
      </c>
      <c r="B13" s="157">
        <f>+'PMC 01'!I189</f>
        <v>11578.371332231403</v>
      </c>
      <c r="C13" s="157">
        <f>+PMC02!I189</f>
        <v>12437.457798347108</v>
      </c>
      <c r="D13" s="157">
        <f>+PMC03!I186</f>
        <v>12993.546763636363</v>
      </c>
      <c r="E13" s="157">
        <f>+PMC04!I199</f>
        <v>20520.950757024795</v>
      </c>
    </row>
    <row r="14" spans="1:5" ht="12.75">
      <c r="A14" s="156" t="s">
        <v>200</v>
      </c>
      <c r="B14" s="157">
        <f>+'PMC 01'!I190</f>
        <v>21414.752132231406</v>
      </c>
      <c r="C14" s="157">
        <f>+PMC02!I190</f>
        <v>22954.45459834711</v>
      </c>
      <c r="D14" s="157">
        <f>+PMC03!I187</f>
        <v>23957.974603636365</v>
      </c>
      <c r="E14" s="157">
        <f>+PMC04!I200</f>
        <v>39986.56835702479</v>
      </c>
    </row>
    <row r="15" spans="1:5" ht="12.75">
      <c r="A15" s="156" t="s">
        <v>201</v>
      </c>
      <c r="B15" s="157">
        <f>+'PMC 01'!I191</f>
        <v>31364.63093273887</v>
      </c>
      <c r="C15" s="157">
        <f>+PMC02!I191</f>
        <v>33146.74381298725</v>
      </c>
      <c r="D15" s="157">
        <f>+PMC03!I188</f>
        <v>33357.6037726287</v>
      </c>
      <c r="E15" s="157">
        <f>+PMC04!I201</f>
        <v>43358.7021720851</v>
      </c>
    </row>
    <row r="16" spans="2:5" ht="12.75">
      <c r="B16" s="164">
        <f>+B14-B15</f>
        <v>-9949.878800507464</v>
      </c>
      <c r="C16" s="164">
        <f>+C14-C15</f>
        <v>-10192.289214640143</v>
      </c>
      <c r="D16" s="164">
        <f>+D14-D15</f>
        <v>-9399.629168992338</v>
      </c>
      <c r="E16" s="164">
        <f>+E14-E15</f>
        <v>-3372.133815060304</v>
      </c>
    </row>
    <row r="17" spans="1:5" ht="12.75">
      <c r="A17" s="156" t="s">
        <v>202</v>
      </c>
      <c r="B17" s="156"/>
      <c r="C17" s="156"/>
      <c r="D17" s="156"/>
      <c r="E17" s="156"/>
    </row>
    <row r="18" spans="1:5" ht="12.75">
      <c r="A18" s="156" t="s">
        <v>47</v>
      </c>
      <c r="B18" s="156" t="s">
        <v>48</v>
      </c>
      <c r="C18" s="156" t="s">
        <v>189</v>
      </c>
      <c r="D18" s="156" t="s">
        <v>188</v>
      </c>
      <c r="E18" s="156" t="s">
        <v>187</v>
      </c>
    </row>
    <row r="19" spans="1:5" ht="12.75">
      <c r="A19" s="160">
        <f>'PMC 01'!E150</f>
        <v>230.16167553565288</v>
      </c>
      <c r="B19" s="160">
        <f>'PMC 01'!E$151</f>
        <v>151.75009820380575</v>
      </c>
      <c r="C19" s="160">
        <f>PMC02!E151</f>
        <v>147.2948160031848</v>
      </c>
      <c r="D19" s="160">
        <f>PMC03!E151</f>
        <v>146.76766610408117</v>
      </c>
      <c r="E19" s="160">
        <f>PMC04!E159</f>
        <v>121.76492010544015</v>
      </c>
    </row>
    <row r="21" ht="12.75">
      <c r="A21" t="s">
        <v>203</v>
      </c>
    </row>
    <row r="22" spans="1:5" ht="12.75">
      <c r="A22" s="156" t="s">
        <v>202</v>
      </c>
      <c r="B22" s="156"/>
      <c r="C22" s="156"/>
      <c r="D22" s="156"/>
      <c r="E22" s="156"/>
    </row>
    <row r="23" spans="1:5" ht="12.75">
      <c r="A23" s="156" t="s">
        <v>47</v>
      </c>
      <c r="B23" s="156" t="s">
        <v>48</v>
      </c>
      <c r="C23" s="156" t="s">
        <v>189</v>
      </c>
      <c r="D23" s="156" t="s">
        <v>188</v>
      </c>
      <c r="E23" s="156" t="s">
        <v>187</v>
      </c>
    </row>
    <row r="24" spans="1:5" ht="12.75">
      <c r="A24" s="161"/>
      <c r="B24" s="162">
        <f>+$A19-B19</f>
        <v>78.41157733184713</v>
      </c>
      <c r="C24" s="162">
        <f>+$A19-C19</f>
        <v>82.86685953246808</v>
      </c>
      <c r="D24" s="162">
        <f>+$A19-D19</f>
        <v>83.3940094315717</v>
      </c>
      <c r="E24" s="162">
        <f>+$A19-E19</f>
        <v>108.39675543021272</v>
      </c>
    </row>
    <row r="26" ht="12.75">
      <c r="A26" t="s">
        <v>204</v>
      </c>
    </row>
    <row r="27" spans="1:5" ht="12.75">
      <c r="A27" s="156"/>
      <c r="B27" s="156" t="s">
        <v>48</v>
      </c>
      <c r="C27" s="156" t="s">
        <v>189</v>
      </c>
      <c r="D27" s="156" t="s">
        <v>188</v>
      </c>
      <c r="E27" s="156" t="s">
        <v>187</v>
      </c>
    </row>
    <row r="28" spans="1:5" ht="12.75">
      <c r="A28" s="156"/>
      <c r="B28" s="163">
        <f>(B14-B15)/B24</f>
        <v>-126.8929811014819</v>
      </c>
      <c r="C28" s="163">
        <f>(C14-C15)/C24</f>
        <v>-122.99596330963526</v>
      </c>
      <c r="D28" s="163">
        <f>(D14-D15)/D24</f>
        <v>-112.71348185633322</v>
      </c>
      <c r="E28" s="163">
        <f>(E14-E15)/E24</f>
        <v>-31.109176669326867</v>
      </c>
    </row>
    <row r="30" ht="12.75">
      <c r="A30" t="s">
        <v>205</v>
      </c>
    </row>
    <row r="31" spans="1:5" ht="12.75">
      <c r="A31" s="156"/>
      <c r="B31" s="156" t="s">
        <v>48</v>
      </c>
      <c r="C31" s="156" t="s">
        <v>189</v>
      </c>
      <c r="D31" s="156" t="s">
        <v>188</v>
      </c>
      <c r="E31" s="156" t="s">
        <v>187</v>
      </c>
    </row>
    <row r="32" spans="1:5" ht="12.75">
      <c r="A32" s="156"/>
      <c r="B32" s="163">
        <f>(B14-B15)/'PMC 01'!$B86</f>
        <v>-43.229954671433525</v>
      </c>
      <c r="C32" s="163">
        <f>(C14-C15)/'PMC 01'!$B86</f>
        <v>-44.283172647747435</v>
      </c>
      <c r="D32" s="163">
        <f>(D14-D15)/'PMC 01'!$B86</f>
        <v>-40.83924548740219</v>
      </c>
      <c r="E32" s="163">
        <f>(E14-E15)/'PMC 01'!$B86</f>
        <v>-14.65115253098663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&amp;L&amp;P/&amp;N&amp;R&amp;F/&amp;A</oddHeader>
    <oddFooter>&amp;Rprinted the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4"/>
  <sheetViews>
    <sheetView workbookViewId="0" topLeftCell="A81">
      <selection activeCell="I191" sqref="I191"/>
    </sheetView>
  </sheetViews>
  <sheetFormatPr defaultColWidth="11.421875" defaultRowHeight="12.75"/>
  <cols>
    <col min="1" max="1" width="45.00390625" style="25" customWidth="1"/>
    <col min="2" max="2" width="19.421875" style="25" customWidth="1"/>
    <col min="3" max="3" width="16.28125" style="25" customWidth="1"/>
    <col min="4" max="4" width="19.00390625" style="25" customWidth="1"/>
    <col min="5" max="5" width="16.57421875" style="25" customWidth="1"/>
    <col min="6" max="6" width="17.57421875" style="25" customWidth="1"/>
    <col min="7" max="9" width="11.421875" style="25" customWidth="1"/>
    <col min="10" max="10" width="56.28125" style="25" customWidth="1"/>
    <col min="11" max="11" width="22.7109375" style="25" customWidth="1"/>
    <col min="12" max="12" width="12.7109375" style="25" customWidth="1"/>
    <col min="13" max="13" width="18.28125" style="25" customWidth="1"/>
    <col min="14" max="14" width="16.421875" style="25" customWidth="1"/>
    <col min="15" max="15" width="15.421875" style="25" customWidth="1"/>
    <col min="16" max="16384" width="11.421875" style="25" customWidth="1"/>
  </cols>
  <sheetData>
    <row r="1" spans="1:11" ht="12.75">
      <c r="A1" s="1" t="s">
        <v>182</v>
      </c>
      <c r="B1" s="25" t="s">
        <v>7</v>
      </c>
      <c r="K1" s="25" t="s">
        <v>8</v>
      </c>
    </row>
    <row r="3" ht="12.75">
      <c r="K3" s="26"/>
    </row>
    <row r="4" spans="1:16" s="1" customFormat="1" ht="12.75">
      <c r="A4" s="14" t="s">
        <v>57</v>
      </c>
      <c r="B4" s="14"/>
      <c r="C4" s="24" t="s">
        <v>51</v>
      </c>
      <c r="D4" s="24" t="s">
        <v>58</v>
      </c>
      <c r="E4" s="24" t="s">
        <v>59</v>
      </c>
      <c r="F4" s="24" t="s">
        <v>60</v>
      </c>
      <c r="G4" s="24" t="s">
        <v>52</v>
      </c>
      <c r="J4" s="14" t="s">
        <v>57</v>
      </c>
      <c r="K4" s="14"/>
      <c r="L4" s="24" t="s">
        <v>51</v>
      </c>
      <c r="M4" s="24" t="s">
        <v>58</v>
      </c>
      <c r="N4" s="24" t="s">
        <v>59</v>
      </c>
      <c r="O4" s="24" t="s">
        <v>108</v>
      </c>
      <c r="P4" s="24" t="s">
        <v>52</v>
      </c>
    </row>
    <row r="5" spans="1:16" ht="12.75">
      <c r="A5" s="28" t="s">
        <v>99</v>
      </c>
      <c r="B5" s="16"/>
      <c r="C5" s="29">
        <v>100</v>
      </c>
      <c r="D5" s="29">
        <v>3500</v>
      </c>
      <c r="E5" s="29">
        <v>7000</v>
      </c>
      <c r="F5" s="29">
        <v>55000</v>
      </c>
      <c r="G5" s="16" t="s">
        <v>98</v>
      </c>
      <c r="J5" s="28" t="s">
        <v>99</v>
      </c>
      <c r="K5" s="28"/>
      <c r="L5" s="29">
        <v>97.5</v>
      </c>
      <c r="M5" s="29">
        <v>3000</v>
      </c>
      <c r="N5" s="29">
        <v>6500</v>
      </c>
      <c r="O5" s="29">
        <v>43000</v>
      </c>
      <c r="P5" s="16" t="s">
        <v>98</v>
      </c>
    </row>
    <row r="6" spans="1:16" ht="12.75">
      <c r="A6" s="28" t="s">
        <v>100</v>
      </c>
      <c r="B6" s="28"/>
      <c r="C6" s="28"/>
      <c r="D6" s="28"/>
      <c r="E6" s="28"/>
      <c r="F6" s="28"/>
      <c r="G6" s="28"/>
      <c r="J6" s="28" t="s">
        <v>100</v>
      </c>
      <c r="K6" s="28"/>
      <c r="L6" s="28"/>
      <c r="M6" s="28"/>
      <c r="N6" s="28"/>
      <c r="O6" s="28"/>
      <c r="P6" s="28"/>
    </row>
    <row r="7" spans="1:16" ht="12.75">
      <c r="A7" s="16" t="s">
        <v>49</v>
      </c>
      <c r="B7" s="16" t="s">
        <v>50</v>
      </c>
      <c r="C7" s="30">
        <f>1.87*0.000001*C5^0.873</f>
        <v>0.00010419373505027089</v>
      </c>
      <c r="D7" s="30">
        <f>1.87*0.000001*D5^0.873</f>
        <v>0.0023217369291838597</v>
      </c>
      <c r="E7" s="30">
        <f>1.87*0.000001*E5^0.873</f>
        <v>0.004252185434109273</v>
      </c>
      <c r="F7" s="30">
        <f>1.87*0.000001*F5^0.873</f>
        <v>0.02571450889748089</v>
      </c>
      <c r="G7" s="31">
        <v>0.11</v>
      </c>
      <c r="J7" s="16" t="s">
        <v>49</v>
      </c>
      <c r="K7" s="16" t="s">
        <v>50</v>
      </c>
      <c r="L7" s="30">
        <f>1.87*0.000001*L5^0.873</f>
        <v>0.0001019160624009378</v>
      </c>
      <c r="M7" s="30">
        <f>1.87*0.000001*M5^0.873</f>
        <v>0.0020294037657179053</v>
      </c>
      <c r="N7" s="30">
        <f>1.87*0.000001*N5^0.873</f>
        <v>0.003985795081341449</v>
      </c>
      <c r="O7" s="30">
        <f>1.87*0.000001*O5^0.873</f>
        <v>0.020742426901068457</v>
      </c>
      <c r="P7" s="31">
        <v>0.11</v>
      </c>
    </row>
    <row r="8" spans="1:16" ht="12.75">
      <c r="A8" s="16" t="s">
        <v>101</v>
      </c>
      <c r="B8" s="16" t="s">
        <v>50</v>
      </c>
      <c r="C8" s="30">
        <f>6.41*0.000001*C5^0.797</f>
        <v>0.0002516854035911436</v>
      </c>
      <c r="D8" s="30">
        <f>6.41*0.000001*D5^0.797</f>
        <v>0.004280359644661665</v>
      </c>
      <c r="E8" s="30">
        <f>6.41*0.000001*E5^0.797</f>
        <v>0.007437057981867841</v>
      </c>
      <c r="F8" s="30">
        <f>6.41*0.000001*F5^0.797</f>
        <v>0.038452722432423245</v>
      </c>
      <c r="G8" s="31">
        <v>0.15</v>
      </c>
      <c r="J8" s="16" t="s">
        <v>101</v>
      </c>
      <c r="K8" s="16" t="s">
        <v>50</v>
      </c>
      <c r="L8" s="30">
        <f>6.41*0.000001*L5^0.797</f>
        <v>0.00024665771743465005</v>
      </c>
      <c r="M8" s="30">
        <f>6.41*0.000001*M5^0.797</f>
        <v>0.0037855036522766294</v>
      </c>
      <c r="N8" s="30">
        <f>6.41*0.000001*N5^0.797</f>
        <v>0.007010515837513619</v>
      </c>
      <c r="O8" s="30">
        <f>6.41*0.000001*O5^0.797</f>
        <v>0.03160329671284086</v>
      </c>
      <c r="P8" s="31">
        <v>0.15</v>
      </c>
    </row>
    <row r="9" spans="1:16" ht="12.75">
      <c r="A9" s="16" t="s">
        <v>102</v>
      </c>
      <c r="B9" s="16" t="s">
        <v>50</v>
      </c>
      <c r="C9" s="30">
        <f>1.9*0.00001*C5^0.824</f>
        <v>0.0008447994081913066</v>
      </c>
      <c r="D9" s="30">
        <f>1.9*0.00001*D5^0.824</f>
        <v>0.015814871572412525</v>
      </c>
      <c r="E9" s="30">
        <f>1.9*0.00001*E5^0.824</f>
        <v>0.02799718621732595</v>
      </c>
      <c r="F9" s="30">
        <f>1.9*0.00001*F5^0.824</f>
        <v>0.15304264295707065</v>
      </c>
      <c r="G9" s="31">
        <v>0.62</v>
      </c>
      <c r="J9" s="16" t="s">
        <v>102</v>
      </c>
      <c r="K9" s="16" t="s">
        <v>50</v>
      </c>
      <c r="L9" s="30">
        <f>1.9*0.00001*L5^0.824</f>
        <v>0.000827357873682288</v>
      </c>
      <c r="M9" s="30">
        <f>1.9*0.00001*M5^0.824</f>
        <v>0.013928409119590366</v>
      </c>
      <c r="N9" s="30">
        <f>1.9*0.00001*N5^0.824</f>
        <v>0.026338692186075638</v>
      </c>
      <c r="O9" s="30">
        <f>1.9*0.00001*O5^0.824</f>
        <v>0.1249486615572774</v>
      </c>
      <c r="P9" s="31">
        <v>0.62</v>
      </c>
    </row>
    <row r="10" spans="1:16" ht="12.75">
      <c r="A10" s="16" t="s">
        <v>103</v>
      </c>
      <c r="B10" s="16" t="s">
        <v>50</v>
      </c>
      <c r="C10" s="30">
        <f>3.05*0.000001*C5^0.885</f>
        <v>0.00017959731488345477</v>
      </c>
      <c r="D10" s="30">
        <f>3.05*0.000001*D5^0.885</f>
        <v>0.004176380493003961</v>
      </c>
      <c r="E10" s="30">
        <f>3.05*0.000001*E5^0.885</f>
        <v>0.0077127917402303355</v>
      </c>
      <c r="F10" s="30">
        <f>3.05*0.000001*F5^0.885</f>
        <v>0.047810228524175345</v>
      </c>
      <c r="G10" s="31">
        <v>0.22</v>
      </c>
      <c r="J10" s="16" t="s">
        <v>103</v>
      </c>
      <c r="K10" s="16" t="s">
        <v>50</v>
      </c>
      <c r="L10" s="30">
        <f>3.05*0.000001*L5^0.885</f>
        <v>0.00017561795846814918</v>
      </c>
      <c r="M10" s="30">
        <f>3.05*0.000001*M5^0.885</f>
        <v>0.003643780016938916</v>
      </c>
      <c r="N10" s="30">
        <f>3.05*0.000001*N5^0.885</f>
        <v>0.007223175383976949</v>
      </c>
      <c r="O10" s="30">
        <f>3.05*0.000001*O5^0.885</f>
        <v>0.038452043286271595</v>
      </c>
      <c r="P10" s="31">
        <v>0.22</v>
      </c>
    </row>
    <row r="11" spans="1:16" ht="12.75">
      <c r="A11" s="16" t="s">
        <v>104</v>
      </c>
      <c r="B11" s="16" t="s">
        <v>50</v>
      </c>
      <c r="C11" s="30">
        <f>+(C9+C8)/2</f>
        <v>0.0005482424058912251</v>
      </c>
      <c r="D11" s="30">
        <f>+(D9+D8)/2</f>
        <v>0.010047615608537095</v>
      </c>
      <c r="E11" s="30">
        <f>+(E9+E8)/2</f>
        <v>0.017717122099596895</v>
      </c>
      <c r="F11" s="30">
        <f>+(F9+F8)/2</f>
        <v>0.09574768269474696</v>
      </c>
      <c r="G11" s="32">
        <f>+(G9+G8)/2</f>
        <v>0.385</v>
      </c>
      <c r="J11" s="16" t="s">
        <v>104</v>
      </c>
      <c r="K11" s="16" t="s">
        <v>50</v>
      </c>
      <c r="L11" s="30">
        <f>+(L9+L8)/2</f>
        <v>0.0005370077955584691</v>
      </c>
      <c r="M11" s="30">
        <f>+(M9+M8)/2</f>
        <v>0.008856956385933498</v>
      </c>
      <c r="N11" s="30">
        <f>+(N9+N8)/2</f>
        <v>0.01667460401179463</v>
      </c>
      <c r="O11" s="30">
        <f>+(O9+O8)/2</f>
        <v>0.07827597913505913</v>
      </c>
      <c r="P11" s="32">
        <f>+(P9+P8)/2</f>
        <v>0.385</v>
      </c>
    </row>
    <row r="12" spans="1:16" ht="12.75">
      <c r="A12" s="67" t="s">
        <v>155</v>
      </c>
      <c r="B12" s="16">
        <v>8600</v>
      </c>
      <c r="C12" s="33" t="s">
        <v>63</v>
      </c>
      <c r="D12" s="16"/>
      <c r="E12" s="16"/>
      <c r="F12" s="16"/>
      <c r="G12" s="34"/>
      <c r="J12" s="67" t="s">
        <v>155</v>
      </c>
      <c r="K12" s="16">
        <v>8600</v>
      </c>
      <c r="L12" s="33" t="s">
        <v>63</v>
      </c>
      <c r="M12" s="16"/>
      <c r="N12" s="16"/>
      <c r="O12" s="16"/>
      <c r="P12" s="34"/>
    </row>
    <row r="13" spans="1:16" ht="12.75">
      <c r="A13" s="16" t="s">
        <v>49</v>
      </c>
      <c r="B13" s="16" t="s">
        <v>61</v>
      </c>
      <c r="C13" s="35">
        <f aca="true" t="shared" si="0" ref="C13:G16">+C7*$B$12</f>
        <v>0.8960661214323297</v>
      </c>
      <c r="D13" s="35">
        <f t="shared" si="0"/>
        <v>19.966937590981193</v>
      </c>
      <c r="E13" s="35">
        <f t="shared" si="0"/>
        <v>36.56879473333975</v>
      </c>
      <c r="F13" s="35">
        <f t="shared" si="0"/>
        <v>221.14477651833565</v>
      </c>
      <c r="G13" s="35">
        <f t="shared" si="0"/>
        <v>946</v>
      </c>
      <c r="J13" s="16" t="s">
        <v>49</v>
      </c>
      <c r="K13" s="16" t="s">
        <v>61</v>
      </c>
      <c r="L13" s="35">
        <f aca="true" t="shared" si="1" ref="L13:P16">+L7*$B$12</f>
        <v>0.8764781366480651</v>
      </c>
      <c r="M13" s="35">
        <f t="shared" si="1"/>
        <v>17.452872385173986</v>
      </c>
      <c r="N13" s="35">
        <f t="shared" si="1"/>
        <v>34.277837699536455</v>
      </c>
      <c r="O13" s="35">
        <f t="shared" si="1"/>
        <v>178.38487134918873</v>
      </c>
      <c r="P13" s="35">
        <f t="shared" si="1"/>
        <v>946</v>
      </c>
    </row>
    <row r="14" spans="1:16" ht="12.75">
      <c r="A14" s="16" t="s">
        <v>101</v>
      </c>
      <c r="B14" s="16" t="s">
        <v>61</v>
      </c>
      <c r="C14" s="35">
        <f t="shared" si="0"/>
        <v>2.164494470883835</v>
      </c>
      <c r="D14" s="35">
        <f t="shared" si="0"/>
        <v>36.81109294409032</v>
      </c>
      <c r="E14" s="35">
        <f t="shared" si="0"/>
        <v>63.95869864406343</v>
      </c>
      <c r="F14" s="35">
        <f t="shared" si="0"/>
        <v>330.6934129188399</v>
      </c>
      <c r="G14" s="35">
        <f t="shared" si="0"/>
        <v>1290</v>
      </c>
      <c r="J14" s="16" t="s">
        <v>101</v>
      </c>
      <c r="K14" s="16" t="s">
        <v>61</v>
      </c>
      <c r="L14" s="35">
        <f t="shared" si="1"/>
        <v>2.1212563699379903</v>
      </c>
      <c r="M14" s="35">
        <f t="shared" si="1"/>
        <v>32.55533140957901</v>
      </c>
      <c r="N14" s="35">
        <f t="shared" si="1"/>
        <v>60.29043620261713</v>
      </c>
      <c r="O14" s="35">
        <f t="shared" si="1"/>
        <v>271.7883517304314</v>
      </c>
      <c r="P14" s="35">
        <f t="shared" si="1"/>
        <v>1290</v>
      </c>
    </row>
    <row r="15" spans="1:16" ht="12.75">
      <c r="A15" s="16" t="s">
        <v>102</v>
      </c>
      <c r="B15" s="16" t="s">
        <v>61</v>
      </c>
      <c r="C15" s="35">
        <f t="shared" si="0"/>
        <v>7.265274910445237</v>
      </c>
      <c r="D15" s="35">
        <f t="shared" si="0"/>
        <v>136.0078955227477</v>
      </c>
      <c r="E15" s="35">
        <f t="shared" si="0"/>
        <v>240.77580146900317</v>
      </c>
      <c r="F15" s="35">
        <f t="shared" si="0"/>
        <v>1316.1667294308077</v>
      </c>
      <c r="G15" s="35">
        <f t="shared" si="0"/>
        <v>5332</v>
      </c>
      <c r="J15" s="16" t="s">
        <v>102</v>
      </c>
      <c r="K15" s="16" t="s">
        <v>61</v>
      </c>
      <c r="L15" s="35">
        <f t="shared" si="1"/>
        <v>7.115277713667677</v>
      </c>
      <c r="M15" s="35">
        <f t="shared" si="1"/>
        <v>119.78431842847715</v>
      </c>
      <c r="N15" s="35">
        <f t="shared" si="1"/>
        <v>226.5127528002505</v>
      </c>
      <c r="O15" s="35">
        <f t="shared" si="1"/>
        <v>1074.5584893925857</v>
      </c>
      <c r="P15" s="35">
        <f t="shared" si="1"/>
        <v>5332</v>
      </c>
    </row>
    <row r="16" spans="1:16" ht="12.75">
      <c r="A16" s="16" t="s">
        <v>103</v>
      </c>
      <c r="B16" s="16" t="s">
        <v>61</v>
      </c>
      <c r="C16" s="35">
        <f t="shared" si="0"/>
        <v>1.544536907997711</v>
      </c>
      <c r="D16" s="35">
        <f t="shared" si="0"/>
        <v>35.91687223983406</v>
      </c>
      <c r="E16" s="35">
        <f t="shared" si="0"/>
        <v>66.33000896598088</v>
      </c>
      <c r="F16" s="35">
        <f t="shared" si="0"/>
        <v>411.167965307908</v>
      </c>
      <c r="G16" s="35">
        <f t="shared" si="0"/>
        <v>1892</v>
      </c>
      <c r="J16" s="16" t="s">
        <v>103</v>
      </c>
      <c r="K16" s="16" t="s">
        <v>61</v>
      </c>
      <c r="L16" s="35">
        <f t="shared" si="1"/>
        <v>1.5103144428260828</v>
      </c>
      <c r="M16" s="35">
        <f t="shared" si="1"/>
        <v>31.336508145674678</v>
      </c>
      <c r="N16" s="35">
        <f t="shared" si="1"/>
        <v>62.119308302201766</v>
      </c>
      <c r="O16" s="35">
        <f t="shared" si="1"/>
        <v>330.6875722619357</v>
      </c>
      <c r="P16" s="35">
        <f t="shared" si="1"/>
        <v>1892</v>
      </c>
    </row>
    <row r="17" spans="1:16" ht="12.75">
      <c r="A17" s="16" t="s">
        <v>104</v>
      </c>
      <c r="B17" s="16" t="s">
        <v>61</v>
      </c>
      <c r="C17" s="35">
        <f>+C14*0.75+C15*0.25</f>
        <v>3.4396895807741856</v>
      </c>
      <c r="D17" s="35">
        <f>+D14*0.75+D15*0.25</f>
        <v>61.610293588754665</v>
      </c>
      <c r="E17" s="35">
        <f>+E14*0.75+E15*0.25</f>
        <v>108.16297435029837</v>
      </c>
      <c r="F17" s="35">
        <f>+F14*0.75+F15*0.25</f>
        <v>577.0617420468318</v>
      </c>
      <c r="G17" s="35">
        <f>+G14*0.75+G15*0.25</f>
        <v>2300.5</v>
      </c>
      <c r="J17" s="16" t="s">
        <v>103</v>
      </c>
      <c r="K17" s="16" t="s">
        <v>61</v>
      </c>
      <c r="L17" s="35">
        <f>+L16</f>
        <v>1.5103144428260828</v>
      </c>
      <c r="M17" s="35">
        <f>+M16</f>
        <v>31.336508145674678</v>
      </c>
      <c r="N17" s="35">
        <f>+N16</f>
        <v>62.119308302201766</v>
      </c>
      <c r="O17" s="35">
        <f>+O16</f>
        <v>330.6875722619357</v>
      </c>
      <c r="P17" s="35">
        <f>+P16</f>
        <v>1892</v>
      </c>
    </row>
    <row r="18" spans="1:256" ht="12.75">
      <c r="A18" s="68"/>
      <c r="B18" s="68"/>
      <c r="C18" s="68"/>
      <c r="D18" s="68"/>
      <c r="E18" s="68"/>
      <c r="F18" s="68"/>
      <c r="G18" s="68"/>
      <c r="J18" s="68"/>
      <c r="K18" s="68"/>
      <c r="L18" s="68"/>
      <c r="M18" s="68"/>
      <c r="N18" s="68"/>
      <c r="O18" s="68"/>
      <c r="P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11" ht="12.75">
      <c r="A19" s="25" t="s">
        <v>65</v>
      </c>
      <c r="B19" s="36">
        <v>0.3</v>
      </c>
      <c r="J19" s="25" t="s">
        <v>65</v>
      </c>
      <c r="K19" s="36">
        <v>0.3</v>
      </c>
    </row>
    <row r="20" spans="1:11" ht="12.75">
      <c r="A20" s="25" t="s">
        <v>66</v>
      </c>
      <c r="B20" s="37">
        <v>0.5</v>
      </c>
      <c r="J20" s="25" t="s">
        <v>66</v>
      </c>
      <c r="K20" s="37">
        <v>0.5</v>
      </c>
    </row>
    <row r="21" spans="1:16" ht="12.75">
      <c r="A21" s="69" t="s">
        <v>107</v>
      </c>
      <c r="B21" s="49">
        <v>1.21</v>
      </c>
      <c r="C21" s="38"/>
      <c r="D21" s="38"/>
      <c r="E21" s="38"/>
      <c r="F21" s="38"/>
      <c r="G21" s="38"/>
      <c r="J21" s="69" t="s">
        <v>107</v>
      </c>
      <c r="K21" s="49">
        <v>1.21</v>
      </c>
      <c r="L21" s="38"/>
      <c r="N21" s="38"/>
      <c r="O21" s="38"/>
      <c r="P21" s="38"/>
    </row>
    <row r="22" spans="3:16" ht="12.75">
      <c r="C22" s="38"/>
      <c r="D22" s="38"/>
      <c r="E22" s="38"/>
      <c r="F22" s="38"/>
      <c r="G22" s="38"/>
      <c r="L22" s="38"/>
      <c r="M22" s="38"/>
      <c r="N22" s="38"/>
      <c r="O22" s="38"/>
      <c r="P22" s="38"/>
    </row>
    <row r="23" spans="1:17" ht="12.75">
      <c r="A23" s="14" t="s">
        <v>57</v>
      </c>
      <c r="B23" s="14"/>
      <c r="C23" s="24" t="s">
        <v>51</v>
      </c>
      <c r="D23" s="24" t="s">
        <v>58</v>
      </c>
      <c r="E23" s="24" t="s">
        <v>59</v>
      </c>
      <c r="F23" s="24" t="s">
        <v>108</v>
      </c>
      <c r="G23" s="24" t="s">
        <v>52</v>
      </c>
      <c r="H23" s="83" t="s">
        <v>6</v>
      </c>
      <c r="J23" s="14" t="s">
        <v>57</v>
      </c>
      <c r="K23" s="16"/>
      <c r="L23" s="27" t="s">
        <v>51</v>
      </c>
      <c r="M23" s="27" t="s">
        <v>58</v>
      </c>
      <c r="N23" s="27" t="s">
        <v>59</v>
      </c>
      <c r="O23" s="27" t="s">
        <v>60</v>
      </c>
      <c r="P23" s="27" t="s">
        <v>52</v>
      </c>
      <c r="Q23" s="39" t="s">
        <v>6</v>
      </c>
    </row>
    <row r="24" spans="1:17" ht="12.75">
      <c r="A24" s="16" t="s">
        <v>156</v>
      </c>
      <c r="B24" s="16" t="s">
        <v>62</v>
      </c>
      <c r="C24" s="73">
        <v>0.975</v>
      </c>
      <c r="D24" s="74">
        <v>0.007</v>
      </c>
      <c r="E24" s="74">
        <v>0.003</v>
      </c>
      <c r="F24" s="74">
        <v>0.005</v>
      </c>
      <c r="G24" s="74">
        <v>0.01</v>
      </c>
      <c r="H24" s="5">
        <f>SUM(C24:G24)</f>
        <v>1</v>
      </c>
      <c r="J24" s="16" t="s">
        <v>156</v>
      </c>
      <c r="K24" s="16" t="s">
        <v>62</v>
      </c>
      <c r="L24" s="73">
        <v>0.989</v>
      </c>
      <c r="M24" s="74">
        <v>0.001</v>
      </c>
      <c r="N24" s="74">
        <v>0.0025</v>
      </c>
      <c r="O24" s="74">
        <v>0.0025</v>
      </c>
      <c r="P24" s="74">
        <v>0.005</v>
      </c>
      <c r="Q24" s="5">
        <f>SUM(L24:P24)</f>
        <v>0.9999999999999999</v>
      </c>
    </row>
    <row r="25" spans="1:17" ht="12.75">
      <c r="A25" s="34" t="s">
        <v>105</v>
      </c>
      <c r="B25" s="34" t="s">
        <v>61</v>
      </c>
      <c r="C25" s="75">
        <f>+C17*C24</f>
        <v>3.353697341254831</v>
      </c>
      <c r="D25" s="75">
        <f>+D17*D24</f>
        <v>0.43127205512128264</v>
      </c>
      <c r="E25" s="75">
        <f>+E17*E24</f>
        <v>0.3244889230508951</v>
      </c>
      <c r="F25" s="75">
        <f>+F17*F24</f>
        <v>2.8853087102341592</v>
      </c>
      <c r="G25" s="75">
        <f>+G17*G24</f>
        <v>23.005</v>
      </c>
      <c r="H25" s="6">
        <f>SUM(C25:G25)</f>
        <v>29.999767029661164</v>
      </c>
      <c r="J25" s="34" t="s">
        <v>105</v>
      </c>
      <c r="K25" s="34" t="s">
        <v>61</v>
      </c>
      <c r="L25" s="75">
        <f>+L17*L24</f>
        <v>1.493700983954996</v>
      </c>
      <c r="M25" s="75">
        <f>+M17*M24</f>
        <v>0.03133650814567468</v>
      </c>
      <c r="N25" s="75">
        <f>+N17*N24</f>
        <v>0.15529827075550443</v>
      </c>
      <c r="O25" s="75">
        <f>+O17*O24</f>
        <v>0.8267189306548393</v>
      </c>
      <c r="P25" s="75">
        <f>+P17*P24</f>
        <v>9.46</v>
      </c>
      <c r="Q25" s="7">
        <f>SUM(L25:P25)</f>
        <v>11.967054693511015</v>
      </c>
    </row>
    <row r="26" spans="1:17" ht="12.75">
      <c r="A26" s="10" t="s">
        <v>64</v>
      </c>
      <c r="B26" s="16"/>
      <c r="C26" s="16"/>
      <c r="D26" s="40"/>
      <c r="E26" s="40"/>
      <c r="F26" s="40"/>
      <c r="G26" s="40"/>
      <c r="H26" s="11"/>
      <c r="J26" s="10" t="s">
        <v>64</v>
      </c>
      <c r="K26" s="16"/>
      <c r="L26" s="16"/>
      <c r="M26" s="40"/>
      <c r="N26" s="40"/>
      <c r="O26" s="40"/>
      <c r="P26" s="40"/>
      <c r="Q26" s="11"/>
    </row>
    <row r="27" spans="1:17" ht="12.75">
      <c r="A27" s="16" t="s">
        <v>156</v>
      </c>
      <c r="B27" s="16" t="s">
        <v>62</v>
      </c>
      <c r="C27" s="76">
        <f>100%-D27-E27-F27-G27</f>
        <v>0.9804</v>
      </c>
      <c r="D27" s="77">
        <f>+D24</f>
        <v>0.007</v>
      </c>
      <c r="E27" s="77">
        <f>+E24*(100%-$B19)</f>
        <v>0.0021</v>
      </c>
      <c r="F27" s="77">
        <f>+F24*(100%-$B19)</f>
        <v>0.0034999999999999996</v>
      </c>
      <c r="G27" s="77">
        <f>+G24*(100%-$B19)</f>
        <v>0.006999999999999999</v>
      </c>
      <c r="H27" s="5">
        <f>SUM(C27:G27)</f>
        <v>1</v>
      </c>
      <c r="J27" s="16" t="s">
        <v>156</v>
      </c>
      <c r="K27" s="16" t="s">
        <v>62</v>
      </c>
      <c r="L27" s="41">
        <f>(100%-SUM($N27:$P27))*(L$24/($L$24+$M$24))</f>
        <v>0.9919969696969697</v>
      </c>
      <c r="M27" s="41">
        <f>(100%-SUM($N27:$P27))*(M$24/($L$24+$M$24))</f>
        <v>0.0010030303030303031</v>
      </c>
      <c r="N27" s="77">
        <f>+N24*(100%-K19)</f>
        <v>0.0017499999999999998</v>
      </c>
      <c r="O27" s="77">
        <f>+O24*(100%-$K19)</f>
        <v>0.0017499999999999998</v>
      </c>
      <c r="P27" s="77">
        <f>+P24*(100%-$K19)</f>
        <v>0.0034999999999999996</v>
      </c>
      <c r="Q27" s="5">
        <f>SUM(L27:P27)</f>
        <v>1</v>
      </c>
    </row>
    <row r="28" spans="1:17" ht="12.75">
      <c r="A28" s="34" t="s">
        <v>106</v>
      </c>
      <c r="B28" s="34" t="s">
        <v>61</v>
      </c>
      <c r="C28" s="75">
        <f>+C27*C17</f>
        <v>3.3722716649910116</v>
      </c>
      <c r="D28" s="75">
        <f>+D27*D17</f>
        <v>0.43127205512128264</v>
      </c>
      <c r="E28" s="75">
        <f>+E27*E17</f>
        <v>0.22714224613562656</v>
      </c>
      <c r="F28" s="75">
        <f>+F27*F17</f>
        <v>2.019716097163911</v>
      </c>
      <c r="G28" s="75">
        <f>+G27*G17</f>
        <v>16.103499999999997</v>
      </c>
      <c r="H28" s="7">
        <f>SUM(C28:G28)</f>
        <v>22.153902063411827</v>
      </c>
      <c r="J28" s="34" t="s">
        <v>106</v>
      </c>
      <c r="K28" s="34" t="s">
        <v>61</v>
      </c>
      <c r="L28" s="75">
        <f>+L27*L17</f>
        <v>1.4982273505730415</v>
      </c>
      <c r="M28" s="75">
        <f>+M27*M17</f>
        <v>0.03143146726126764</v>
      </c>
      <c r="N28" s="75">
        <f>+N27*N17</f>
        <v>0.10870878952885307</v>
      </c>
      <c r="O28" s="75">
        <f>+O27*O17</f>
        <v>0.5787032514583874</v>
      </c>
      <c r="P28" s="75">
        <f>+P27*P17</f>
        <v>6.621999999999999</v>
      </c>
      <c r="Q28" s="7">
        <f>SUM(L28:P28)</f>
        <v>8.839070858821549</v>
      </c>
    </row>
    <row r="29" spans="1:17" ht="12.75">
      <c r="A29" s="12" t="s">
        <v>67</v>
      </c>
      <c r="B29" s="40"/>
      <c r="C29" s="40"/>
      <c r="D29" s="40"/>
      <c r="E29" s="40"/>
      <c r="F29" s="40"/>
      <c r="G29" s="40"/>
      <c r="H29" s="10"/>
      <c r="J29" s="12" t="s">
        <v>171</v>
      </c>
      <c r="K29" s="40"/>
      <c r="L29" s="40"/>
      <c r="M29" s="40"/>
      <c r="N29" s="40"/>
      <c r="O29" s="40"/>
      <c r="P29" s="40"/>
      <c r="Q29" s="10"/>
    </row>
    <row r="30" spans="1:17" ht="12.75">
      <c r="A30" s="16" t="s">
        <v>156</v>
      </c>
      <c r="B30" s="16" t="s">
        <v>62</v>
      </c>
      <c r="C30" s="76">
        <f>100%-D30-E30-F30-G30</f>
        <v>0.9839000000000001</v>
      </c>
      <c r="D30" s="76">
        <f>+D27</f>
        <v>0.007</v>
      </c>
      <c r="E30" s="76">
        <f>+E27</f>
        <v>0.0021</v>
      </c>
      <c r="F30" s="76">
        <f>+F27</f>
        <v>0.0034999999999999996</v>
      </c>
      <c r="G30" s="77">
        <f>(100%-$B20)*G27</f>
        <v>0.0034999999999999996</v>
      </c>
      <c r="H30" s="5">
        <f>SUM(C30:G30)</f>
        <v>1</v>
      </c>
      <c r="J30" s="16" t="s">
        <v>156</v>
      </c>
      <c r="K30" s="16" t="s">
        <v>62</v>
      </c>
      <c r="L30" s="41">
        <f>(100%-SUM($N30:$P30))*(L$24/($L$24+$M$24))</f>
        <v>0.993745202020202</v>
      </c>
      <c r="M30" s="41">
        <f>(100%-SUM($N30:$P30))*(M$24/($L$24+$M$24))</f>
        <v>0.00100479797979798</v>
      </c>
      <c r="N30" s="76">
        <f>+N27</f>
        <v>0.0017499999999999998</v>
      </c>
      <c r="O30" s="76">
        <f>+O27</f>
        <v>0.0017499999999999998</v>
      </c>
      <c r="P30" s="77">
        <f>(100%-$K20)*P27</f>
        <v>0.0017499999999999998</v>
      </c>
      <c r="Q30" s="5">
        <f>SUM(L30:P30)</f>
        <v>1</v>
      </c>
    </row>
    <row r="31" spans="1:17" ht="12.75">
      <c r="A31" s="34" t="s">
        <v>106</v>
      </c>
      <c r="B31" s="34" t="s">
        <v>61</v>
      </c>
      <c r="C31" s="75">
        <f>+C17*C30</f>
        <v>3.3843105785237215</v>
      </c>
      <c r="D31" s="75">
        <f>+D17*D30</f>
        <v>0.43127205512128264</v>
      </c>
      <c r="E31" s="75">
        <f>+E17*E30</f>
        <v>0.22714224613562656</v>
      </c>
      <c r="F31" s="75">
        <f>+F17*F30</f>
        <v>2.019716097163911</v>
      </c>
      <c r="G31" s="75">
        <f>+G17*G30</f>
        <v>8.051749999999998</v>
      </c>
      <c r="H31" s="7">
        <f>SUM(C31:G31)</f>
        <v>14.11419097694454</v>
      </c>
      <c r="J31" s="34" t="s">
        <v>106</v>
      </c>
      <c r="K31" s="34" t="s">
        <v>61</v>
      </c>
      <c r="L31" s="75">
        <f>+L17*L30</f>
        <v>1.5008677311002345</v>
      </c>
      <c r="M31" s="75">
        <f>+M17*M30</f>
        <v>0.03148686007869686</v>
      </c>
      <c r="N31" s="75">
        <f>+N17*N30</f>
        <v>0.10870878952885307</v>
      </c>
      <c r="O31" s="75">
        <f>+O17*O30</f>
        <v>0.5787032514583874</v>
      </c>
      <c r="P31" s="75">
        <f>+P17*P30</f>
        <v>3.3109999999999995</v>
      </c>
      <c r="Q31" s="7">
        <f>SUM(L31:P31)</f>
        <v>5.530766632166172</v>
      </c>
    </row>
    <row r="32" spans="1:17" ht="12.75">
      <c r="A32" s="14" t="s">
        <v>68</v>
      </c>
      <c r="B32" s="16"/>
      <c r="C32" s="16"/>
      <c r="D32" s="16"/>
      <c r="E32" s="16"/>
      <c r="F32" s="16"/>
      <c r="G32" s="97"/>
      <c r="H32" s="14"/>
      <c r="J32" s="14" t="s">
        <v>68</v>
      </c>
      <c r="K32" s="16"/>
      <c r="L32" s="16"/>
      <c r="M32" s="16"/>
      <c r="N32" s="16"/>
      <c r="O32" s="16"/>
      <c r="P32" s="97"/>
      <c r="Q32" s="16"/>
    </row>
    <row r="33" spans="1:17" ht="12.75">
      <c r="A33" s="16" t="s">
        <v>156</v>
      </c>
      <c r="B33" s="16" t="s">
        <v>62</v>
      </c>
      <c r="C33" s="41">
        <f>(100%-SUM($E33:$G33))*(C24/($C24+$D24))</f>
        <v>0.9794421079429735</v>
      </c>
      <c r="D33" s="41">
        <f>(100%-SUM($E33:$G33))*(D24/($C24+$D24))</f>
        <v>0.007031892057026477</v>
      </c>
      <c r="E33" s="43">
        <f>+E30*$B21</f>
        <v>0.002541</v>
      </c>
      <c r="F33" s="43">
        <f>+F30*$B21</f>
        <v>0.004234999999999999</v>
      </c>
      <c r="G33" s="42">
        <f>+(-G30+G24)/2+G30</f>
        <v>0.00675</v>
      </c>
      <c r="H33" s="5">
        <f>SUM(C33:G33)</f>
        <v>1</v>
      </c>
      <c r="J33" s="16" t="s">
        <v>156</v>
      </c>
      <c r="K33" s="16" t="s">
        <v>62</v>
      </c>
      <c r="L33" s="41">
        <f>(100%-SUM($N33:$P33))*(L$24/($L$24+$M$24))</f>
        <v>0.9913875858585859</v>
      </c>
      <c r="M33" s="41">
        <f>(100%-SUM($N33:$P33))*(M$24/($L$24+$M$24))</f>
        <v>0.0010024141414141413</v>
      </c>
      <c r="N33" s="43">
        <f>+N30*$K21</f>
        <v>0.0021174999999999996</v>
      </c>
      <c r="O33" s="43">
        <f>+O30*$K21</f>
        <v>0.0021174999999999996</v>
      </c>
      <c r="P33" s="44">
        <f>+(-P30+P24)/2+P30</f>
        <v>0.003375</v>
      </c>
      <c r="Q33" s="41">
        <f>SUM(L33:P33)</f>
        <v>1</v>
      </c>
    </row>
    <row r="34" spans="1:17" ht="12.75">
      <c r="A34" s="34" t="s">
        <v>106</v>
      </c>
      <c r="B34" s="34" t="s">
        <v>61</v>
      </c>
      <c r="C34" s="45">
        <f>+C33*C17</f>
        <v>3.368976813662951</v>
      </c>
      <c r="D34" s="45">
        <f>+D33*D17</f>
        <v>0.4332369341178332</v>
      </c>
      <c r="E34" s="45">
        <f>+E33*E17</f>
        <v>0.27484211782410817</v>
      </c>
      <c r="F34" s="45">
        <f>+F33*F17</f>
        <v>2.4438564775683322</v>
      </c>
      <c r="G34" s="45">
        <f>+G33*G17</f>
        <v>15.528375</v>
      </c>
      <c r="H34" s="13">
        <f>SUM(C34:G34)</f>
        <v>22.049287343173226</v>
      </c>
      <c r="J34" s="34" t="s">
        <v>106</v>
      </c>
      <c r="K34" s="34" t="s">
        <v>61</v>
      </c>
      <c r="L34" s="45">
        <f>+L33*L17</f>
        <v>1.4973069893607056</v>
      </c>
      <c r="M34" s="45">
        <f>+M33*M17</f>
        <v>0.03141215890776373</v>
      </c>
      <c r="N34" s="45">
        <f>+N33*N17</f>
        <v>0.13153763532991222</v>
      </c>
      <c r="O34" s="45">
        <f>+O33*O17</f>
        <v>0.7002309342646488</v>
      </c>
      <c r="P34" s="45">
        <f>+P33*P17</f>
        <v>6.3854999999999995</v>
      </c>
      <c r="Q34" s="45">
        <f>SUM(L34:P34)</f>
        <v>8.74598771786303</v>
      </c>
    </row>
    <row r="35" spans="1:17" ht="12.75">
      <c r="A35" s="14" t="s">
        <v>69</v>
      </c>
      <c r="B35" s="34"/>
      <c r="C35" s="70"/>
      <c r="D35" s="70"/>
      <c r="E35" s="70"/>
      <c r="F35" s="70"/>
      <c r="G35" s="70"/>
      <c r="H35" s="78"/>
      <c r="J35" s="14" t="s">
        <v>69</v>
      </c>
      <c r="K35" s="34"/>
      <c r="L35" s="70"/>
      <c r="M35" s="70"/>
      <c r="N35" s="70"/>
      <c r="O35" s="70"/>
      <c r="P35" s="70"/>
      <c r="Q35" s="70"/>
    </row>
    <row r="36" spans="1:17" ht="12.75">
      <c r="A36" s="16" t="s">
        <v>156</v>
      </c>
      <c r="B36" s="16" t="s">
        <v>62</v>
      </c>
      <c r="C36" s="41">
        <f>100%-SUM(D36:G36)</f>
        <v>0.9817895955462793</v>
      </c>
      <c r="D36" s="41">
        <f>+D33</f>
        <v>0.007031892057026477</v>
      </c>
      <c r="E36" s="41">
        <f>+E30</f>
        <v>0.0021</v>
      </c>
      <c r="F36" s="41">
        <f>+F30</f>
        <v>0.0034999999999999996</v>
      </c>
      <c r="G36" s="42">
        <f>+G33*(F36/F33)</f>
        <v>0.005578512396694215</v>
      </c>
      <c r="H36" s="79">
        <f>SUM(C36:G36)</f>
        <v>1</v>
      </c>
      <c r="J36" s="16" t="s">
        <v>156</v>
      </c>
      <c r="K36" s="16" t="s">
        <v>62</v>
      </c>
      <c r="L36" s="41">
        <f>100%-SUM(M36:P36)</f>
        <v>0.9927059458218549</v>
      </c>
      <c r="M36" s="41">
        <f>+M30</f>
        <v>0.00100479797979798</v>
      </c>
      <c r="N36" s="41">
        <f>+N30</f>
        <v>0.0017499999999999998</v>
      </c>
      <c r="O36" s="41">
        <f>+O30</f>
        <v>0.0017499999999999998</v>
      </c>
      <c r="P36" s="42">
        <f>+P33*(O36/O33)</f>
        <v>0.0027892561983471073</v>
      </c>
      <c r="Q36" s="43">
        <f>SUM(L36:P36)</f>
        <v>1</v>
      </c>
    </row>
    <row r="37" spans="1:17" ht="12.75">
      <c r="A37" s="34" t="s">
        <v>106</v>
      </c>
      <c r="B37" s="34" t="s">
        <v>61</v>
      </c>
      <c r="C37" s="45">
        <f>+C36*C17</f>
        <v>3.377051442313039</v>
      </c>
      <c r="D37" s="45">
        <f>+D36*D17</f>
        <v>0.4332369341178332</v>
      </c>
      <c r="E37" s="45">
        <f>+E36*E17</f>
        <v>0.22714224613562656</v>
      </c>
      <c r="F37" s="45">
        <f>+F36*F17</f>
        <v>2.019716097163911</v>
      </c>
      <c r="G37" s="45">
        <f>+G36*G17</f>
        <v>12.833367768595041</v>
      </c>
      <c r="H37" s="13">
        <f>SUM(C37:G37)</f>
        <v>18.89051448832545</v>
      </c>
      <c r="J37" s="34" t="s">
        <v>106</v>
      </c>
      <c r="K37" s="34" t="s">
        <v>61</v>
      </c>
      <c r="L37" s="45">
        <f>+L36*L17</f>
        <v>1.4992981274540744</v>
      </c>
      <c r="M37" s="45">
        <f>+M36*M17</f>
        <v>0.03148686007869686</v>
      </c>
      <c r="N37" s="45">
        <f>+N36*N17</f>
        <v>0.10870878952885307</v>
      </c>
      <c r="O37" s="45">
        <f>+O36*O17</f>
        <v>0.5787032514583874</v>
      </c>
      <c r="P37" s="45">
        <f>+P36*P17</f>
        <v>5.277272727272727</v>
      </c>
      <c r="Q37" s="45">
        <f>SUM(L37:P37)</f>
        <v>7.4954697557927386</v>
      </c>
    </row>
    <row r="38" spans="1:17" ht="12.75">
      <c r="A38" s="16"/>
      <c r="B38" s="16"/>
      <c r="C38" s="46"/>
      <c r="D38" s="47"/>
      <c r="E38" s="47"/>
      <c r="F38" s="47"/>
      <c r="G38" s="47"/>
      <c r="H38" s="80"/>
      <c r="J38" s="16"/>
      <c r="K38" s="16"/>
      <c r="L38" s="46"/>
      <c r="M38" s="47"/>
      <c r="N38" s="47"/>
      <c r="O38" s="47"/>
      <c r="P38" s="47"/>
      <c r="Q38" s="47"/>
    </row>
    <row r="39" spans="1:22" ht="51">
      <c r="A39" s="16"/>
      <c r="B39" s="16"/>
      <c r="C39" s="46"/>
      <c r="D39" s="46"/>
      <c r="E39" s="46"/>
      <c r="F39" s="46"/>
      <c r="G39" s="46"/>
      <c r="H39" s="81" t="s">
        <v>39</v>
      </c>
      <c r="J39" s="16"/>
      <c r="K39" s="16"/>
      <c r="L39" s="46"/>
      <c r="M39" s="46"/>
      <c r="N39" s="46"/>
      <c r="O39" s="46"/>
      <c r="P39" s="46"/>
      <c r="Q39" s="81" t="s">
        <v>39</v>
      </c>
      <c r="R39" s="25" t="s">
        <v>7</v>
      </c>
      <c r="S39" s="64" t="s">
        <v>141</v>
      </c>
      <c r="T39" s="64" t="s">
        <v>142</v>
      </c>
      <c r="U39" s="111" t="s">
        <v>143</v>
      </c>
      <c r="V39" s="111" t="s">
        <v>144</v>
      </c>
    </row>
    <row r="40" spans="1:22" ht="12.75">
      <c r="A40" s="16" t="s">
        <v>137</v>
      </c>
      <c r="B40" s="16">
        <v>0</v>
      </c>
      <c r="C40" s="41">
        <f>+C30</f>
        <v>0.9839000000000001</v>
      </c>
      <c r="D40" s="41">
        <f>+D30</f>
        <v>0.007</v>
      </c>
      <c r="E40" s="41">
        <f>+E30</f>
        <v>0.0021</v>
      </c>
      <c r="F40" s="41">
        <f>+F30</f>
        <v>0.0034999999999999996</v>
      </c>
      <c r="G40" s="41">
        <f>+G30</f>
        <v>0.0034999999999999996</v>
      </c>
      <c r="H40" s="13">
        <f>+C40*C$17+D40*D$17+E40*E$17+F40*F$17+G40*G$17</f>
        <v>14.11419097694454</v>
      </c>
      <c r="J40" s="16"/>
      <c r="K40" s="16"/>
      <c r="L40" s="41">
        <f>+L30</f>
        <v>0.993745202020202</v>
      </c>
      <c r="M40" s="41">
        <f>+M30</f>
        <v>0.00100479797979798</v>
      </c>
      <c r="N40" s="41">
        <f>+N30</f>
        <v>0.0017499999999999998</v>
      </c>
      <c r="O40" s="41">
        <f>+O30</f>
        <v>0.0017499999999999998</v>
      </c>
      <c r="P40" s="41">
        <f>+P30</f>
        <v>0.0017499999999999998</v>
      </c>
      <c r="Q40" s="13">
        <f>+L40*L$17+M40*M$17+N40*N$17+O40*O$17+P40*P$17</f>
        <v>5.530766632166172</v>
      </c>
      <c r="R40" s="25">
        <v>0</v>
      </c>
      <c r="S40" s="112">
        <f aca="true" t="shared" si="2" ref="S40:S45">+H40</f>
        <v>14.11419097694454</v>
      </c>
      <c r="T40" s="112">
        <f aca="true" t="shared" si="3" ref="T40:T45">+H47</f>
        <v>14.11419097694454</v>
      </c>
      <c r="U40" s="112">
        <f aca="true" t="shared" si="4" ref="U40:U45">+H54</f>
        <v>14.11419097694454</v>
      </c>
      <c r="V40" s="112">
        <f aca="true" t="shared" si="5" ref="V40:V45">+H$62</f>
        <v>17.292045946346942</v>
      </c>
    </row>
    <row r="41" spans="1:22" ht="12.75">
      <c r="A41" s="16" t="s">
        <v>138</v>
      </c>
      <c r="B41" s="16">
        <v>1</v>
      </c>
      <c r="C41" s="41">
        <f aca="true" t="shared" si="6" ref="C41:G45">+(C$33-C$40)/5+C40</f>
        <v>0.9830084215885948</v>
      </c>
      <c r="D41" s="41">
        <f t="shared" si="6"/>
        <v>0.007006378411405296</v>
      </c>
      <c r="E41" s="41">
        <f t="shared" si="6"/>
        <v>0.0021882</v>
      </c>
      <c r="F41" s="41">
        <f t="shared" si="6"/>
        <v>0.0036469999999999996</v>
      </c>
      <c r="G41" s="41">
        <f t="shared" si="6"/>
        <v>0.00415</v>
      </c>
      <c r="H41" s="13">
        <f aca="true" t="shared" si="7" ref="H41:H59">+C41*C$17+D41*D$17+E41*E$17+F41*F$17+G41*G$17</f>
        <v>15.701210250190279</v>
      </c>
      <c r="J41" s="16"/>
      <c r="K41" s="16"/>
      <c r="L41" s="41">
        <f aca="true" t="shared" si="8" ref="L41:P45">+(L$33-L$40)/5+L40</f>
        <v>0.9932736787878788</v>
      </c>
      <c r="M41" s="41">
        <f t="shared" si="8"/>
        <v>0.0010043212121212122</v>
      </c>
      <c r="N41" s="41">
        <f t="shared" si="8"/>
        <v>0.0018234999999999998</v>
      </c>
      <c r="O41" s="41">
        <f t="shared" si="8"/>
        <v>0.0018234999999999998</v>
      </c>
      <c r="P41" s="41">
        <f t="shared" si="8"/>
        <v>0.002075</v>
      </c>
      <c r="Q41" s="13">
        <f aca="true" t="shared" si="9" ref="Q41:Q59">+L41*L$17+M41*M$17+N41*N$17+O41*O$17+P41*P$17</f>
        <v>6.173810849305543</v>
      </c>
      <c r="R41" s="25">
        <v>1</v>
      </c>
      <c r="S41" s="112">
        <f t="shared" si="2"/>
        <v>15.701210250190279</v>
      </c>
      <c r="T41" s="112">
        <f t="shared" si="3"/>
        <v>15.069455679220724</v>
      </c>
      <c r="U41" s="112">
        <f t="shared" si="4"/>
        <v>15.385332964705503</v>
      </c>
      <c r="V41" s="112">
        <f t="shared" si="5"/>
        <v>17.292045946346942</v>
      </c>
    </row>
    <row r="42" spans="1:22" ht="12.75">
      <c r="A42" s="16"/>
      <c r="B42" s="16">
        <v>2</v>
      </c>
      <c r="C42" s="41">
        <f t="shared" si="6"/>
        <v>0.9821168431771895</v>
      </c>
      <c r="D42" s="41">
        <f t="shared" si="6"/>
        <v>0.0070127568228105916</v>
      </c>
      <c r="E42" s="41">
        <f t="shared" si="6"/>
        <v>0.0022764</v>
      </c>
      <c r="F42" s="41">
        <f t="shared" si="6"/>
        <v>0.0037939999999999996</v>
      </c>
      <c r="G42" s="41">
        <f t="shared" si="6"/>
        <v>0.0048000000000000004</v>
      </c>
      <c r="H42" s="13">
        <f t="shared" si="7"/>
        <v>17.288229523436016</v>
      </c>
      <c r="J42" s="16"/>
      <c r="K42" s="16"/>
      <c r="L42" s="41">
        <f t="shared" si="8"/>
        <v>0.9928021555555555</v>
      </c>
      <c r="M42" s="41">
        <f t="shared" si="8"/>
        <v>0.0010038444444444444</v>
      </c>
      <c r="N42" s="41">
        <f t="shared" si="8"/>
        <v>0.0018969999999999998</v>
      </c>
      <c r="O42" s="41">
        <f t="shared" si="8"/>
        <v>0.0018969999999999998</v>
      </c>
      <c r="P42" s="41">
        <f t="shared" si="8"/>
        <v>0.0024000000000000002</v>
      </c>
      <c r="Q42" s="13">
        <f t="shared" si="9"/>
        <v>6.816855066444916</v>
      </c>
      <c r="R42" s="25">
        <v>2</v>
      </c>
      <c r="S42" s="112">
        <f t="shared" si="2"/>
        <v>17.288229523436016</v>
      </c>
      <c r="T42" s="112">
        <f t="shared" si="3"/>
        <v>16.024720381496905</v>
      </c>
      <c r="U42" s="112">
        <f t="shared" si="4"/>
        <v>16.65647495246646</v>
      </c>
      <c r="V42" s="112">
        <f t="shared" si="5"/>
        <v>17.292045946346942</v>
      </c>
    </row>
    <row r="43" spans="1:22" ht="12.75">
      <c r="A43" s="16"/>
      <c r="B43" s="16">
        <v>3</v>
      </c>
      <c r="C43" s="41">
        <f t="shared" si="6"/>
        <v>0.9812252647657842</v>
      </c>
      <c r="D43" s="41">
        <f t="shared" si="6"/>
        <v>0.007019135234215887</v>
      </c>
      <c r="E43" s="41">
        <f t="shared" si="6"/>
        <v>0.0023646</v>
      </c>
      <c r="F43" s="41">
        <f t="shared" si="6"/>
        <v>0.003940999999999999</v>
      </c>
      <c r="G43" s="41">
        <f t="shared" si="6"/>
        <v>0.005450000000000001</v>
      </c>
      <c r="H43" s="13">
        <f t="shared" si="7"/>
        <v>18.875248796681753</v>
      </c>
      <c r="J43" s="16"/>
      <c r="K43" s="16"/>
      <c r="L43" s="41">
        <f t="shared" si="8"/>
        <v>0.9923306323232323</v>
      </c>
      <c r="M43" s="41">
        <f t="shared" si="8"/>
        <v>0.0010033676767676766</v>
      </c>
      <c r="N43" s="41">
        <f t="shared" si="8"/>
        <v>0.0019704999999999996</v>
      </c>
      <c r="O43" s="41">
        <f t="shared" si="8"/>
        <v>0.0019704999999999996</v>
      </c>
      <c r="P43" s="41">
        <f t="shared" si="8"/>
        <v>0.0027250000000000004</v>
      </c>
      <c r="Q43" s="13">
        <f t="shared" si="9"/>
        <v>7.459899283584287</v>
      </c>
      <c r="R43" s="25">
        <v>3</v>
      </c>
      <c r="S43" s="112">
        <f t="shared" si="2"/>
        <v>18.875248796681753</v>
      </c>
      <c r="T43" s="112">
        <f t="shared" si="3"/>
        <v>16.979985083773087</v>
      </c>
      <c r="U43" s="112">
        <f t="shared" si="4"/>
        <v>17.92761694022742</v>
      </c>
      <c r="V43" s="112">
        <f t="shared" si="5"/>
        <v>17.292045946346942</v>
      </c>
    </row>
    <row r="44" spans="1:22" ht="12.75">
      <c r="A44" s="16"/>
      <c r="B44" s="16">
        <v>4</v>
      </c>
      <c r="C44" s="41">
        <f t="shared" si="6"/>
        <v>0.9803336863543789</v>
      </c>
      <c r="D44" s="41">
        <f t="shared" si="6"/>
        <v>0.007025513645621183</v>
      </c>
      <c r="E44" s="41">
        <f t="shared" si="6"/>
        <v>0.0024528</v>
      </c>
      <c r="F44" s="41">
        <f t="shared" si="6"/>
        <v>0.004087999999999999</v>
      </c>
      <c r="G44" s="41">
        <f t="shared" si="6"/>
        <v>0.006100000000000001</v>
      </c>
      <c r="H44" s="13">
        <f t="shared" si="7"/>
        <v>20.46226806992749</v>
      </c>
      <c r="J44" s="16"/>
      <c r="K44" s="16"/>
      <c r="L44" s="41">
        <f t="shared" si="8"/>
        <v>0.991859109090909</v>
      </c>
      <c r="M44" s="41">
        <f t="shared" si="8"/>
        <v>0.0010028909090909089</v>
      </c>
      <c r="N44" s="41">
        <f t="shared" si="8"/>
        <v>0.0020439999999999994</v>
      </c>
      <c r="O44" s="41">
        <f t="shared" si="8"/>
        <v>0.0020439999999999994</v>
      </c>
      <c r="P44" s="41">
        <f t="shared" si="8"/>
        <v>0.0030500000000000006</v>
      </c>
      <c r="Q44" s="13">
        <f t="shared" si="9"/>
        <v>8.10294350072366</v>
      </c>
      <c r="R44" s="25">
        <v>4</v>
      </c>
      <c r="S44" s="112">
        <f t="shared" si="2"/>
        <v>20.46226806992749</v>
      </c>
      <c r="T44" s="112">
        <f t="shared" si="3"/>
        <v>17.93524978604927</v>
      </c>
      <c r="U44" s="112">
        <f t="shared" si="4"/>
        <v>19.198758927988383</v>
      </c>
      <c r="V44" s="112">
        <f t="shared" si="5"/>
        <v>17.292045946346942</v>
      </c>
    </row>
    <row r="45" spans="1:22" ht="12.75">
      <c r="A45" s="16"/>
      <c r="B45" s="16">
        <v>5</v>
      </c>
      <c r="C45" s="41">
        <f t="shared" si="6"/>
        <v>0.9794421079429736</v>
      </c>
      <c r="D45" s="41">
        <f t="shared" si="6"/>
        <v>0.007031892057026479</v>
      </c>
      <c r="E45" s="41">
        <f t="shared" si="6"/>
        <v>0.0025410000000000003</v>
      </c>
      <c r="F45" s="41">
        <f t="shared" si="6"/>
        <v>0.004234999999999998</v>
      </c>
      <c r="G45" s="41">
        <f t="shared" si="6"/>
        <v>0.006750000000000002</v>
      </c>
      <c r="H45" s="13">
        <f t="shared" si="7"/>
        <v>22.04928734317323</v>
      </c>
      <c r="J45" s="16"/>
      <c r="K45" s="16"/>
      <c r="L45" s="41">
        <f t="shared" si="8"/>
        <v>0.9913875858585858</v>
      </c>
      <c r="M45" s="41">
        <f t="shared" si="8"/>
        <v>0.0010024141414141411</v>
      </c>
      <c r="N45" s="41">
        <f t="shared" si="8"/>
        <v>0.002117499999999999</v>
      </c>
      <c r="O45" s="41">
        <f t="shared" si="8"/>
        <v>0.002117499999999999</v>
      </c>
      <c r="P45" s="41">
        <f t="shared" si="8"/>
        <v>0.003375000000000001</v>
      </c>
      <c r="Q45" s="13">
        <f t="shared" si="9"/>
        <v>8.74598771786303</v>
      </c>
      <c r="R45" s="25">
        <v>5</v>
      </c>
      <c r="S45" s="112">
        <f t="shared" si="2"/>
        <v>22.04928734317323</v>
      </c>
      <c r="T45" s="112">
        <f t="shared" si="3"/>
        <v>18.890514488325454</v>
      </c>
      <c r="U45" s="112">
        <f t="shared" si="4"/>
        <v>20.469900915749342</v>
      </c>
      <c r="V45" s="112">
        <f t="shared" si="5"/>
        <v>17.292045946346942</v>
      </c>
    </row>
    <row r="46" spans="1:17" ht="12.75">
      <c r="A46" s="16"/>
      <c r="B46" s="16"/>
      <c r="C46" s="48"/>
      <c r="D46" s="48"/>
      <c r="E46" s="48"/>
      <c r="F46" s="48"/>
      <c r="G46" s="48"/>
      <c r="H46" s="48"/>
      <c r="J46" s="16"/>
      <c r="K46" s="16"/>
      <c r="L46" s="48"/>
      <c r="M46" s="48"/>
      <c r="N46" s="48"/>
      <c r="O46" s="48"/>
      <c r="P46" s="48"/>
      <c r="Q46" s="48"/>
    </row>
    <row r="47" spans="1:22" ht="51">
      <c r="A47" s="16" t="s">
        <v>139</v>
      </c>
      <c r="B47" s="16">
        <v>0</v>
      </c>
      <c r="C47" s="41">
        <f>+C30</f>
        <v>0.9839000000000001</v>
      </c>
      <c r="D47" s="41">
        <f>+D30</f>
        <v>0.007</v>
      </c>
      <c r="E47" s="41">
        <f>+E30</f>
        <v>0.0021</v>
      </c>
      <c r="F47" s="41">
        <f>+F30</f>
        <v>0.0034999999999999996</v>
      </c>
      <c r="G47" s="41">
        <f>+G30</f>
        <v>0.0034999999999999996</v>
      </c>
      <c r="H47" s="13">
        <f t="shared" si="7"/>
        <v>14.11419097694454</v>
      </c>
      <c r="J47" s="16"/>
      <c r="K47" s="16"/>
      <c r="L47" s="41">
        <f>+L30</f>
        <v>0.993745202020202</v>
      </c>
      <c r="M47" s="41">
        <f>+M30</f>
        <v>0.00100479797979798</v>
      </c>
      <c r="N47" s="41">
        <f>+N30</f>
        <v>0.0017499999999999998</v>
      </c>
      <c r="O47" s="41">
        <f>+O30</f>
        <v>0.0017499999999999998</v>
      </c>
      <c r="P47" s="41">
        <f>+P30</f>
        <v>0.0017499999999999998</v>
      </c>
      <c r="Q47" s="13">
        <f t="shared" si="9"/>
        <v>5.530766632166172</v>
      </c>
      <c r="R47" s="25" t="s">
        <v>8</v>
      </c>
      <c r="S47" s="64" t="s">
        <v>141</v>
      </c>
      <c r="T47" s="64" t="s">
        <v>142</v>
      </c>
      <c r="U47" s="111" t="s">
        <v>143</v>
      </c>
      <c r="V47" s="111" t="s">
        <v>144</v>
      </c>
    </row>
    <row r="48" spans="1:22" ht="12.75">
      <c r="A48" s="16"/>
      <c r="B48" s="16">
        <v>1</v>
      </c>
      <c r="C48" s="41">
        <f aca="true" t="shared" si="10" ref="C48:G52">+(C$36-C$47)/5+C47</f>
        <v>0.983477919109256</v>
      </c>
      <c r="D48" s="41">
        <f t="shared" si="10"/>
        <v>0.007006378411405296</v>
      </c>
      <c r="E48" s="41">
        <f t="shared" si="10"/>
        <v>0.0021</v>
      </c>
      <c r="F48" s="41">
        <f t="shared" si="10"/>
        <v>0.0034999999999999996</v>
      </c>
      <c r="G48" s="41">
        <f t="shared" si="10"/>
        <v>0.003915702479338843</v>
      </c>
      <c r="H48" s="13">
        <f t="shared" si="7"/>
        <v>15.069455679220724</v>
      </c>
      <c r="J48" s="16"/>
      <c r="K48" s="16"/>
      <c r="L48" s="41">
        <f aca="true" t="shared" si="11" ref="L48:P52">+(L$36-L$47)/5+L47</f>
        <v>0.9935373507805326</v>
      </c>
      <c r="M48" s="41">
        <f t="shared" si="11"/>
        <v>0.00100479797979798</v>
      </c>
      <c r="N48" s="41">
        <f t="shared" si="11"/>
        <v>0.0017499999999999998</v>
      </c>
      <c r="O48" s="41">
        <f t="shared" si="11"/>
        <v>0.0017499999999999998</v>
      </c>
      <c r="P48" s="41">
        <f t="shared" si="11"/>
        <v>0.0019578512396694215</v>
      </c>
      <c r="Q48" s="13">
        <f t="shared" si="9"/>
        <v>5.923707256891486</v>
      </c>
      <c r="R48" s="25">
        <v>0</v>
      </c>
      <c r="S48" s="112">
        <f aca="true" t="shared" si="12" ref="S48:S53">+Q40</f>
        <v>5.530766632166172</v>
      </c>
      <c r="T48" s="112">
        <f aca="true" t="shared" si="13" ref="T48:T53">+Q47</f>
        <v>5.530766632166172</v>
      </c>
      <c r="U48" s="112">
        <f aca="true" t="shared" si="14" ref="U48:U53">+Q54</f>
        <v>5.530766632166172</v>
      </c>
      <c r="V48" s="112">
        <f aca="true" t="shared" si="15" ref="V48:V53">+Q$62</f>
        <v>6.8257476844970295</v>
      </c>
    </row>
    <row r="49" spans="1:22" ht="12.75">
      <c r="A49" s="16"/>
      <c r="B49" s="16">
        <v>2</v>
      </c>
      <c r="C49" s="41">
        <f t="shared" si="10"/>
        <v>0.9830558382185118</v>
      </c>
      <c r="D49" s="41">
        <f t="shared" si="10"/>
        <v>0.0070127568228105916</v>
      </c>
      <c r="E49" s="41">
        <f t="shared" si="10"/>
        <v>0.0021</v>
      </c>
      <c r="F49" s="41">
        <f t="shared" si="10"/>
        <v>0.0034999999999999996</v>
      </c>
      <c r="G49" s="41">
        <f t="shared" si="10"/>
        <v>0.004331404958677686</v>
      </c>
      <c r="H49" s="13">
        <f t="shared" si="7"/>
        <v>16.024720381496905</v>
      </c>
      <c r="J49" s="16"/>
      <c r="K49" s="16"/>
      <c r="L49" s="41">
        <f t="shared" si="11"/>
        <v>0.9933294995408632</v>
      </c>
      <c r="M49" s="41">
        <f t="shared" si="11"/>
        <v>0.00100479797979798</v>
      </c>
      <c r="N49" s="41">
        <f t="shared" si="11"/>
        <v>0.0017499999999999998</v>
      </c>
      <c r="O49" s="41">
        <f t="shared" si="11"/>
        <v>0.0017499999999999998</v>
      </c>
      <c r="P49" s="41">
        <f t="shared" si="11"/>
        <v>0.002165702479338843</v>
      </c>
      <c r="Q49" s="13">
        <f t="shared" si="9"/>
        <v>6.316647881616799</v>
      </c>
      <c r="R49" s="25">
        <v>1</v>
      </c>
      <c r="S49" s="112">
        <f t="shared" si="12"/>
        <v>6.173810849305543</v>
      </c>
      <c r="T49" s="112">
        <f t="shared" si="13"/>
        <v>5.923707256891486</v>
      </c>
      <c r="U49" s="112">
        <f t="shared" si="14"/>
        <v>6.0487590530985145</v>
      </c>
      <c r="V49" s="112">
        <f t="shared" si="15"/>
        <v>6.8257476844970295</v>
      </c>
    </row>
    <row r="50" spans="1:22" ht="12.75">
      <c r="A50" s="16"/>
      <c r="B50" s="16">
        <v>3</v>
      </c>
      <c r="C50" s="41">
        <f t="shared" si="10"/>
        <v>0.9826337573277677</v>
      </c>
      <c r="D50" s="41">
        <f t="shared" si="10"/>
        <v>0.007019135234215887</v>
      </c>
      <c r="E50" s="41">
        <f t="shared" si="10"/>
        <v>0.0021</v>
      </c>
      <c r="F50" s="41">
        <f t="shared" si="10"/>
        <v>0.0034999999999999996</v>
      </c>
      <c r="G50" s="41">
        <f t="shared" si="10"/>
        <v>0.00474710743801653</v>
      </c>
      <c r="H50" s="13">
        <f t="shared" si="7"/>
        <v>16.979985083773087</v>
      </c>
      <c r="J50" s="16"/>
      <c r="K50" s="16"/>
      <c r="L50" s="41">
        <f t="shared" si="11"/>
        <v>0.9931216483011939</v>
      </c>
      <c r="M50" s="41">
        <f t="shared" si="11"/>
        <v>0.00100479797979798</v>
      </c>
      <c r="N50" s="41">
        <f t="shared" si="11"/>
        <v>0.0017499999999999998</v>
      </c>
      <c r="O50" s="41">
        <f t="shared" si="11"/>
        <v>0.0017499999999999998</v>
      </c>
      <c r="P50" s="41">
        <f t="shared" si="11"/>
        <v>0.002373553719008265</v>
      </c>
      <c r="Q50" s="13">
        <f t="shared" si="9"/>
        <v>6.709588506342112</v>
      </c>
      <c r="R50" s="25">
        <v>2</v>
      </c>
      <c r="S50" s="112">
        <f t="shared" si="12"/>
        <v>6.816855066444916</v>
      </c>
      <c r="T50" s="112">
        <f t="shared" si="13"/>
        <v>6.316647881616799</v>
      </c>
      <c r="U50" s="112">
        <f t="shared" si="14"/>
        <v>6.566751474030857</v>
      </c>
      <c r="V50" s="112">
        <f t="shared" si="15"/>
        <v>6.8257476844970295</v>
      </c>
    </row>
    <row r="51" spans="1:22" ht="12.75">
      <c r="A51" s="16"/>
      <c r="B51" s="16">
        <v>4</v>
      </c>
      <c r="C51" s="41">
        <f t="shared" si="10"/>
        <v>0.9822116764370236</v>
      </c>
      <c r="D51" s="41">
        <f t="shared" si="10"/>
        <v>0.007025513645621183</v>
      </c>
      <c r="E51" s="41">
        <f t="shared" si="10"/>
        <v>0.0021</v>
      </c>
      <c r="F51" s="41">
        <f t="shared" si="10"/>
        <v>0.0034999999999999996</v>
      </c>
      <c r="G51" s="41">
        <f t="shared" si="10"/>
        <v>0.005162809917355373</v>
      </c>
      <c r="H51" s="13">
        <f t="shared" si="7"/>
        <v>17.93524978604927</v>
      </c>
      <c r="J51" s="16"/>
      <c r="K51" s="16"/>
      <c r="L51" s="41">
        <f t="shared" si="11"/>
        <v>0.9929137970615245</v>
      </c>
      <c r="M51" s="41">
        <f t="shared" si="11"/>
        <v>0.00100479797979798</v>
      </c>
      <c r="N51" s="41">
        <f t="shared" si="11"/>
        <v>0.0017499999999999998</v>
      </c>
      <c r="O51" s="41">
        <f t="shared" si="11"/>
        <v>0.0017499999999999998</v>
      </c>
      <c r="P51" s="41">
        <f t="shared" si="11"/>
        <v>0.0025814049586776865</v>
      </c>
      <c r="Q51" s="13">
        <f t="shared" si="9"/>
        <v>7.102529131067427</v>
      </c>
      <c r="R51" s="25">
        <v>3</v>
      </c>
      <c r="S51" s="112">
        <f t="shared" si="12"/>
        <v>7.459899283584287</v>
      </c>
      <c r="T51" s="112">
        <f t="shared" si="13"/>
        <v>6.709588506342112</v>
      </c>
      <c r="U51" s="112">
        <f t="shared" si="14"/>
        <v>7.0847438949632</v>
      </c>
      <c r="V51" s="112">
        <f t="shared" si="15"/>
        <v>6.8257476844970295</v>
      </c>
    </row>
    <row r="52" spans="1:22" ht="12.75">
      <c r="A52" s="16"/>
      <c r="B52" s="16">
        <v>5</v>
      </c>
      <c r="C52" s="41">
        <f t="shared" si="10"/>
        <v>0.9817895955462794</v>
      </c>
      <c r="D52" s="41">
        <f t="shared" si="10"/>
        <v>0.007031892057026479</v>
      </c>
      <c r="E52" s="41">
        <f t="shared" si="10"/>
        <v>0.0021</v>
      </c>
      <c r="F52" s="41">
        <f t="shared" si="10"/>
        <v>0.0034999999999999996</v>
      </c>
      <c r="G52" s="41">
        <f t="shared" si="10"/>
        <v>0.005578512396694216</v>
      </c>
      <c r="H52" s="13">
        <f t="shared" si="7"/>
        <v>18.890514488325454</v>
      </c>
      <c r="J52" s="16"/>
      <c r="K52" s="16"/>
      <c r="L52" s="41">
        <f t="shared" si="11"/>
        <v>0.9927059458218551</v>
      </c>
      <c r="M52" s="41">
        <f t="shared" si="11"/>
        <v>0.00100479797979798</v>
      </c>
      <c r="N52" s="41">
        <f t="shared" si="11"/>
        <v>0.0017499999999999998</v>
      </c>
      <c r="O52" s="41">
        <f t="shared" si="11"/>
        <v>0.0017499999999999998</v>
      </c>
      <c r="P52" s="41">
        <f t="shared" si="11"/>
        <v>0.002789256198347108</v>
      </c>
      <c r="Q52" s="13">
        <f t="shared" si="9"/>
        <v>7.495469755792741</v>
      </c>
      <c r="R52" s="25">
        <v>4</v>
      </c>
      <c r="S52" s="112">
        <f t="shared" si="12"/>
        <v>8.10294350072366</v>
      </c>
      <c r="T52" s="112">
        <f t="shared" si="13"/>
        <v>7.102529131067427</v>
      </c>
      <c r="U52" s="112">
        <f t="shared" si="14"/>
        <v>7.602736315895544</v>
      </c>
      <c r="V52" s="112">
        <f t="shared" si="15"/>
        <v>6.8257476844970295</v>
      </c>
    </row>
    <row r="53" spans="1:22" ht="12.75">
      <c r="A53" s="16"/>
      <c r="B53" s="16"/>
      <c r="C53" s="48"/>
      <c r="D53" s="48"/>
      <c r="E53" s="48"/>
      <c r="F53" s="48"/>
      <c r="G53" s="48"/>
      <c r="H53" s="48"/>
      <c r="J53" s="16"/>
      <c r="K53" s="16"/>
      <c r="L53" s="48"/>
      <c r="M53" s="48"/>
      <c r="N53" s="48"/>
      <c r="O53" s="48"/>
      <c r="P53" s="48"/>
      <c r="Q53" s="48"/>
      <c r="R53" s="25">
        <v>5</v>
      </c>
      <c r="S53" s="112">
        <f t="shared" si="12"/>
        <v>8.74598771786303</v>
      </c>
      <c r="T53" s="112">
        <f t="shared" si="13"/>
        <v>7.495469755792741</v>
      </c>
      <c r="U53" s="112">
        <f t="shared" si="14"/>
        <v>8.120728736827887</v>
      </c>
      <c r="V53" s="112">
        <f t="shared" si="15"/>
        <v>6.8257476844970295</v>
      </c>
    </row>
    <row r="54" spans="1:17" ht="12.75">
      <c r="A54" s="16" t="s">
        <v>140</v>
      </c>
      <c r="B54" s="16">
        <v>0</v>
      </c>
      <c r="C54" s="43">
        <f>+(C40+C47)/2</f>
        <v>0.9839000000000001</v>
      </c>
      <c r="D54" s="43">
        <f>+(D40+D47)/2</f>
        <v>0.007</v>
      </c>
      <c r="E54" s="43">
        <f>+(E40+E47)/2</f>
        <v>0.0021</v>
      </c>
      <c r="F54" s="43">
        <f>+(F40+F47)/2</f>
        <v>0.0034999999999999996</v>
      </c>
      <c r="G54" s="43">
        <f>+(G40+G47)/2</f>
        <v>0.0034999999999999996</v>
      </c>
      <c r="H54" s="13">
        <f t="shared" si="7"/>
        <v>14.11419097694454</v>
      </c>
      <c r="J54" s="16"/>
      <c r="K54" s="16"/>
      <c r="L54" s="43">
        <f aca="true" t="shared" si="16" ref="L54:P59">+(L40+L47)/2</f>
        <v>0.993745202020202</v>
      </c>
      <c r="M54" s="43">
        <f t="shared" si="16"/>
        <v>0.00100479797979798</v>
      </c>
      <c r="N54" s="43">
        <f t="shared" si="16"/>
        <v>0.0017499999999999998</v>
      </c>
      <c r="O54" s="43">
        <f t="shared" si="16"/>
        <v>0.0017499999999999998</v>
      </c>
      <c r="P54" s="43">
        <f t="shared" si="16"/>
        <v>0.0017499999999999998</v>
      </c>
      <c r="Q54" s="13">
        <f t="shared" si="9"/>
        <v>5.530766632166172</v>
      </c>
    </row>
    <row r="55" spans="1:17" ht="12.75">
      <c r="A55" s="16"/>
      <c r="B55" s="16">
        <v>1</v>
      </c>
      <c r="C55" s="43">
        <f aca="true" t="shared" si="17" ref="C55:G59">+(C41+C48)/2</f>
        <v>0.9832431703489254</v>
      </c>
      <c r="D55" s="43">
        <f t="shared" si="17"/>
        <v>0.007006378411405296</v>
      </c>
      <c r="E55" s="43">
        <f t="shared" si="17"/>
        <v>0.0021441</v>
      </c>
      <c r="F55" s="43">
        <f t="shared" si="17"/>
        <v>0.0035734999999999994</v>
      </c>
      <c r="G55" s="43">
        <f t="shared" si="17"/>
        <v>0.004032851239669422</v>
      </c>
      <c r="H55" s="13">
        <f t="shared" si="7"/>
        <v>15.385332964705503</v>
      </c>
      <c r="J55" s="16"/>
      <c r="K55" s="16"/>
      <c r="L55" s="43">
        <f t="shared" si="16"/>
        <v>0.9934055147842057</v>
      </c>
      <c r="M55" s="43">
        <f t="shared" si="16"/>
        <v>0.001004559595959596</v>
      </c>
      <c r="N55" s="43">
        <f t="shared" si="16"/>
        <v>0.0017867499999999997</v>
      </c>
      <c r="O55" s="43">
        <f t="shared" si="16"/>
        <v>0.0017867499999999997</v>
      </c>
      <c r="P55" s="43">
        <f t="shared" si="16"/>
        <v>0.002016425619834711</v>
      </c>
      <c r="Q55" s="13">
        <f t="shared" si="9"/>
        <v>6.0487590530985145</v>
      </c>
    </row>
    <row r="56" spans="1:20" ht="12.75">
      <c r="A56" s="16"/>
      <c r="B56" s="16">
        <v>2</v>
      </c>
      <c r="C56" s="43">
        <f t="shared" si="17"/>
        <v>0.9825863406978507</v>
      </c>
      <c r="D56" s="43">
        <f t="shared" si="17"/>
        <v>0.0070127568228105916</v>
      </c>
      <c r="E56" s="43">
        <f t="shared" si="17"/>
        <v>0.0021882</v>
      </c>
      <c r="F56" s="43">
        <f t="shared" si="17"/>
        <v>0.0036469999999999996</v>
      </c>
      <c r="G56" s="43">
        <f t="shared" si="17"/>
        <v>0.004565702479338843</v>
      </c>
      <c r="H56" s="13">
        <f t="shared" si="7"/>
        <v>16.65647495246646</v>
      </c>
      <c r="J56" s="16"/>
      <c r="K56" s="16"/>
      <c r="L56" s="43">
        <f t="shared" si="16"/>
        <v>0.9930658275482094</v>
      </c>
      <c r="M56" s="43">
        <f t="shared" si="16"/>
        <v>0.0010043212121212122</v>
      </c>
      <c r="N56" s="43">
        <f t="shared" si="16"/>
        <v>0.0018234999999999998</v>
      </c>
      <c r="O56" s="43">
        <f t="shared" si="16"/>
        <v>0.0018234999999999998</v>
      </c>
      <c r="P56" s="43">
        <f t="shared" si="16"/>
        <v>0.0022828512396694217</v>
      </c>
      <c r="Q56" s="13">
        <f t="shared" si="9"/>
        <v>6.566751474030857</v>
      </c>
      <c r="S56" s="25">
        <v>0</v>
      </c>
      <c r="T56" s="94">
        <f>+H25</f>
        <v>29.999767029661164</v>
      </c>
    </row>
    <row r="57" spans="1:20" ht="12.75">
      <c r="A57" s="16"/>
      <c r="B57" s="16">
        <v>3</v>
      </c>
      <c r="C57" s="43">
        <f t="shared" si="17"/>
        <v>0.981929511046776</v>
      </c>
      <c r="D57" s="43">
        <f t="shared" si="17"/>
        <v>0.007019135234215887</v>
      </c>
      <c r="E57" s="43">
        <f t="shared" si="17"/>
        <v>0.0022323</v>
      </c>
      <c r="F57" s="43">
        <f t="shared" si="17"/>
        <v>0.0037204999999999994</v>
      </c>
      <c r="G57" s="43">
        <f t="shared" si="17"/>
        <v>0.005098553719008265</v>
      </c>
      <c r="H57" s="13">
        <f t="shared" si="7"/>
        <v>17.92761694022742</v>
      </c>
      <c r="J57" s="16"/>
      <c r="K57" s="16"/>
      <c r="L57" s="43">
        <f t="shared" si="16"/>
        <v>0.9927261403122131</v>
      </c>
      <c r="M57" s="43">
        <f t="shared" si="16"/>
        <v>0.0010040828282828283</v>
      </c>
      <c r="N57" s="43">
        <f t="shared" si="16"/>
        <v>0.0018602499999999997</v>
      </c>
      <c r="O57" s="43">
        <f t="shared" si="16"/>
        <v>0.0018602499999999997</v>
      </c>
      <c r="P57" s="43">
        <f t="shared" si="16"/>
        <v>0.0025492768595041324</v>
      </c>
      <c r="Q57" s="13">
        <f t="shared" si="9"/>
        <v>7.0847438949632</v>
      </c>
      <c r="S57" s="25">
        <v>0.2</v>
      </c>
      <c r="T57" s="66">
        <f>+H28</f>
        <v>22.153902063411827</v>
      </c>
    </row>
    <row r="58" spans="1:20" ht="12.75">
      <c r="A58" s="16"/>
      <c r="B58" s="16">
        <v>4</v>
      </c>
      <c r="C58" s="43">
        <f t="shared" si="17"/>
        <v>0.9812726813957012</v>
      </c>
      <c r="D58" s="43">
        <f t="shared" si="17"/>
        <v>0.007025513645621183</v>
      </c>
      <c r="E58" s="43">
        <f t="shared" si="17"/>
        <v>0.0022764</v>
      </c>
      <c r="F58" s="43">
        <f t="shared" si="17"/>
        <v>0.003793999999999999</v>
      </c>
      <c r="G58" s="43">
        <f t="shared" si="17"/>
        <v>0.005631404958677687</v>
      </c>
      <c r="H58" s="13">
        <f t="shared" si="7"/>
        <v>19.198758927988383</v>
      </c>
      <c r="J58" s="16"/>
      <c r="K58" s="16"/>
      <c r="L58" s="43">
        <f t="shared" si="16"/>
        <v>0.9923864530762168</v>
      </c>
      <c r="M58" s="43">
        <f t="shared" si="16"/>
        <v>0.0010038444444444444</v>
      </c>
      <c r="N58" s="43">
        <f t="shared" si="16"/>
        <v>0.0018969999999999996</v>
      </c>
      <c r="O58" s="43">
        <f t="shared" si="16"/>
        <v>0.0018969999999999996</v>
      </c>
      <c r="P58" s="43">
        <f t="shared" si="16"/>
        <v>0.0028157024793388436</v>
      </c>
      <c r="Q58" s="13">
        <f t="shared" si="9"/>
        <v>7.602736315895544</v>
      </c>
      <c r="S58" s="25">
        <v>0.5</v>
      </c>
      <c r="T58" s="66">
        <f>+H31</f>
        <v>14.11419097694454</v>
      </c>
    </row>
    <row r="59" spans="1:20" ht="12.75">
      <c r="A59" s="16"/>
      <c r="B59" s="16">
        <v>5</v>
      </c>
      <c r="C59" s="43">
        <f t="shared" si="17"/>
        <v>0.9806158517446265</v>
      </c>
      <c r="D59" s="43">
        <f t="shared" si="17"/>
        <v>0.007031892057026479</v>
      </c>
      <c r="E59" s="43">
        <f t="shared" si="17"/>
        <v>0.0023205</v>
      </c>
      <c r="F59" s="43">
        <f t="shared" si="17"/>
        <v>0.003867499999999999</v>
      </c>
      <c r="G59" s="43">
        <f t="shared" si="17"/>
        <v>0.0061642561983471095</v>
      </c>
      <c r="H59" s="13">
        <f t="shared" si="7"/>
        <v>20.469900915749342</v>
      </c>
      <c r="J59" s="16"/>
      <c r="K59" s="16"/>
      <c r="L59" s="43">
        <f t="shared" si="16"/>
        <v>0.9920467658402204</v>
      </c>
      <c r="M59" s="43">
        <f t="shared" si="16"/>
        <v>0.0010036060606060605</v>
      </c>
      <c r="N59" s="43">
        <f t="shared" si="16"/>
        <v>0.0019337499999999995</v>
      </c>
      <c r="O59" s="43">
        <f t="shared" si="16"/>
        <v>0.0019337499999999995</v>
      </c>
      <c r="P59" s="43">
        <f t="shared" si="16"/>
        <v>0.0030821280991735547</v>
      </c>
      <c r="Q59" s="13">
        <f t="shared" si="9"/>
        <v>8.120728736827887</v>
      </c>
      <c r="S59" s="25">
        <v>1</v>
      </c>
      <c r="T59" s="66">
        <f>+H55</f>
        <v>15.385332964705503</v>
      </c>
    </row>
    <row r="60" spans="1:20" ht="12.75">
      <c r="A60" s="14" t="s">
        <v>70</v>
      </c>
      <c r="B60" s="16"/>
      <c r="C60" s="71"/>
      <c r="D60" s="71"/>
      <c r="E60" s="71"/>
      <c r="F60" s="71"/>
      <c r="G60" s="71"/>
      <c r="H60" s="82"/>
      <c r="J60" s="14" t="s">
        <v>70</v>
      </c>
      <c r="K60" s="16"/>
      <c r="L60" s="71"/>
      <c r="M60" s="71"/>
      <c r="N60" s="71"/>
      <c r="O60" s="71"/>
      <c r="P60" s="71"/>
      <c r="Q60" s="72"/>
      <c r="S60" s="25">
        <v>2</v>
      </c>
      <c r="T60" s="66">
        <f>+H56</f>
        <v>16.65647495246646</v>
      </c>
    </row>
    <row r="61" spans="1:20" ht="12.75">
      <c r="A61" s="16" t="s">
        <v>156</v>
      </c>
      <c r="B61" s="16" t="s">
        <v>62</v>
      </c>
      <c r="C61" s="41">
        <f>+((C54+C55)/2+(C55+C56)/2+(C56+C57)/2+(C57+C58)/2+(C58+C59)/2)/5</f>
        <v>0.9822579258723133</v>
      </c>
      <c r="D61" s="41">
        <f>+((D54+D55)/2+(D55+D56)/2+(D56+D57)/2+(D57+D58)/2+(D58+D59)/2)/5</f>
        <v>0.00701594602851324</v>
      </c>
      <c r="E61" s="41">
        <f>+((E54+E55)/2+(E55+E56)/2+(E56+E57)/2+(E57+E58)/2+(E58+E59)/2)/5</f>
        <v>0.00221025</v>
      </c>
      <c r="F61" s="41">
        <f>+((F54+F55)/2+(F55+F56)/2+(F56+F57)/2+(F57+F58)/2+(F58+F59)/2)/5</f>
        <v>0.0036837499999999995</v>
      </c>
      <c r="G61" s="41">
        <f>+((G54+G55)/2+(G55+G56)/2+(G56+G57)/2+(G57+G58)/2+(G58+G59)/2)/5</f>
        <v>0.0048321280991735546</v>
      </c>
      <c r="H61" s="41">
        <f>SUM(C61:G61)</f>
        <v>1</v>
      </c>
      <c r="J61" s="16" t="s">
        <v>156</v>
      </c>
      <c r="K61" s="16" t="s">
        <v>62</v>
      </c>
      <c r="L61" s="41">
        <f>+((L54+L55)/2+(L55+L56)/2+(L56+L57)/2+(L57+L58)/2+(L58+L59)/2)/5</f>
        <v>0.9928959839302113</v>
      </c>
      <c r="M61" s="41">
        <f>+((M54+M55)/2+(M55+M56)/2+(M56+M57)/2+(M57+M58)/2+(M58+M59)/2)/5</f>
        <v>0.0010042020202020202</v>
      </c>
      <c r="N61" s="41">
        <f>+((N54+N55)/2+(N55+N56)/2+(N56+N57)/2+(N57+N58)/2+(N58+N59)/2)/5</f>
        <v>0.0018418749999999998</v>
      </c>
      <c r="O61" s="41">
        <f>+((O54+O55)/2+(O55+O56)/2+(O56+O57)/2+(O57+O58)/2+(O58+O59)/2)/5</f>
        <v>0.0018418749999999998</v>
      </c>
      <c r="P61" s="41">
        <f>+((P54+P55)/2+(P55+P56)/2+(P56+P57)/2+(P57+P58)/2+(P58+P59)/2)/5</f>
        <v>0.0024160640495867773</v>
      </c>
      <c r="Q61" s="41">
        <f>SUM(L61:P61)</f>
        <v>1</v>
      </c>
      <c r="S61" s="25">
        <v>3</v>
      </c>
      <c r="T61" s="66">
        <f>+H57</f>
        <v>17.92761694022742</v>
      </c>
    </row>
    <row r="62" spans="1:20" ht="12.75">
      <c r="A62" s="34" t="s">
        <v>106</v>
      </c>
      <c r="B62" s="34" t="s">
        <v>61</v>
      </c>
      <c r="C62" s="45">
        <f>+C61*C17</f>
        <v>3.3786623532558586</v>
      </c>
      <c r="D62" s="45">
        <f>+D61*D17</f>
        <v>0.432254494619558</v>
      </c>
      <c r="E62" s="45">
        <f>+E61*E17</f>
        <v>0.23906721405774697</v>
      </c>
      <c r="F62" s="45">
        <f>+F61*F17</f>
        <v>2.1257511922650165</v>
      </c>
      <c r="G62" s="45">
        <f>+G61*G17</f>
        <v>11.116310692148762</v>
      </c>
      <c r="H62" s="45">
        <f>SUM(C62:G62)</f>
        <v>17.292045946346942</v>
      </c>
      <c r="J62" s="34" t="s">
        <v>106</v>
      </c>
      <c r="K62" s="34" t="s">
        <v>61</v>
      </c>
      <c r="L62" s="45">
        <f>+L61*L17</f>
        <v>1.4995851447538124</v>
      </c>
      <c r="M62" s="45">
        <f>+M61*M17</f>
        <v>0.031468184785963575</v>
      </c>
      <c r="N62" s="45">
        <f>+N61*N17</f>
        <v>0.11441600097911786</v>
      </c>
      <c r="O62" s="45">
        <f>+O61*O17</f>
        <v>0.6090851721599527</v>
      </c>
      <c r="P62" s="45">
        <f>+P61*P17</f>
        <v>4.571193181818183</v>
      </c>
      <c r="Q62" s="45">
        <f>SUM(L62:P62)</f>
        <v>6.8257476844970295</v>
      </c>
      <c r="S62" s="25">
        <v>4</v>
      </c>
      <c r="T62" s="66">
        <f>+H58</f>
        <v>19.198758927988383</v>
      </c>
    </row>
    <row r="63" spans="10:20" ht="12.75">
      <c r="J63" s="140"/>
      <c r="K63" s="140"/>
      <c r="S63" s="25">
        <v>5</v>
      </c>
      <c r="T63" s="66">
        <f>+H59</f>
        <v>20.469900915749342</v>
      </c>
    </row>
    <row r="64" spans="10:20" ht="12.75">
      <c r="J64" s="94"/>
      <c r="K64" s="94"/>
      <c r="S64" s="25">
        <v>5.2</v>
      </c>
      <c r="T64" s="66">
        <f>+T58</f>
        <v>14.11419097694454</v>
      </c>
    </row>
    <row r="65" spans="5:20" ht="12.75">
      <c r="E65" s="25" t="s">
        <v>44</v>
      </c>
      <c r="F65" s="49">
        <v>24.3</v>
      </c>
      <c r="G65" s="25" t="s">
        <v>31</v>
      </c>
      <c r="S65" s="25">
        <v>6</v>
      </c>
      <c r="T65" s="66">
        <f aca="true" t="shared" si="18" ref="T65:T81">+T59</f>
        <v>15.385332964705503</v>
      </c>
    </row>
    <row r="66" spans="5:20" ht="12.75">
      <c r="E66" s="25" t="s">
        <v>112</v>
      </c>
      <c r="F66" s="118">
        <f>+Explanation!B6</f>
        <v>24.3</v>
      </c>
      <c r="G66" s="25" t="s">
        <v>31</v>
      </c>
      <c r="S66" s="25">
        <v>7</v>
      </c>
      <c r="T66" s="66">
        <f t="shared" si="18"/>
        <v>16.65647495246646</v>
      </c>
    </row>
    <row r="67" spans="4:20" ht="12.75">
      <c r="D67" s="25" t="s">
        <v>28</v>
      </c>
      <c r="E67" s="25" t="s">
        <v>29</v>
      </c>
      <c r="F67" s="25" t="s">
        <v>30</v>
      </c>
      <c r="M67" s="25" t="s">
        <v>28</v>
      </c>
      <c r="N67" s="25" t="s">
        <v>29</v>
      </c>
      <c r="O67" s="25" t="s">
        <v>30</v>
      </c>
      <c r="S67" s="25">
        <v>8</v>
      </c>
      <c r="T67" s="66">
        <f t="shared" si="18"/>
        <v>17.92761694022742</v>
      </c>
    </row>
    <row r="68" spans="2:20" ht="12.75">
      <c r="B68" s="26" t="s">
        <v>24</v>
      </c>
      <c r="C68" s="49">
        <v>2</v>
      </c>
      <c r="D68" s="49">
        <v>50</v>
      </c>
      <c r="E68" s="49">
        <v>50</v>
      </c>
      <c r="F68" s="50">
        <f>+C68*E68/100/F$65</f>
        <v>0.0411522633744856</v>
      </c>
      <c r="K68" s="26" t="s">
        <v>24</v>
      </c>
      <c r="L68" s="49">
        <v>2</v>
      </c>
      <c r="M68" s="49">
        <v>50</v>
      </c>
      <c r="N68" s="49">
        <v>50</v>
      </c>
      <c r="O68" s="50">
        <f>+L68*N68/100/F$65</f>
        <v>0.0411522633744856</v>
      </c>
      <c r="S68" s="25">
        <v>9</v>
      </c>
      <c r="T68" s="66">
        <f t="shared" si="18"/>
        <v>19.198758927988383</v>
      </c>
    </row>
    <row r="69" spans="2:20" ht="12.75">
      <c r="B69" s="26" t="s">
        <v>5</v>
      </c>
      <c r="C69" s="49">
        <v>5</v>
      </c>
      <c r="D69" s="49">
        <v>0</v>
      </c>
      <c r="E69" s="49">
        <v>100</v>
      </c>
      <c r="F69" s="50">
        <f>+C69*E69/100/F$65</f>
        <v>0.205761316872428</v>
      </c>
      <c r="K69" s="26" t="s">
        <v>5</v>
      </c>
      <c r="L69" s="49">
        <v>5</v>
      </c>
      <c r="M69" s="49"/>
      <c r="N69" s="49">
        <v>100</v>
      </c>
      <c r="O69" s="51">
        <f>+L69*N69/100/F$65</f>
        <v>0.205761316872428</v>
      </c>
      <c r="S69" s="25">
        <v>10</v>
      </c>
      <c r="T69" s="66">
        <f t="shared" si="18"/>
        <v>20.469900915749342</v>
      </c>
    </row>
    <row r="70" spans="2:20" ht="12.75">
      <c r="B70" s="25" t="s">
        <v>26</v>
      </c>
      <c r="C70" s="49">
        <v>20</v>
      </c>
      <c r="D70" s="49">
        <v>0</v>
      </c>
      <c r="E70" s="49">
        <v>100</v>
      </c>
      <c r="F70" s="50">
        <f>+C70*E70/100/F$65</f>
        <v>0.823045267489712</v>
      </c>
      <c r="K70" s="25" t="s">
        <v>26</v>
      </c>
      <c r="L70" s="49">
        <v>20</v>
      </c>
      <c r="M70" s="49"/>
      <c r="N70" s="49">
        <v>100</v>
      </c>
      <c r="O70" s="51">
        <f>+L70*N70/100/F$65</f>
        <v>0.823045267489712</v>
      </c>
      <c r="S70" s="25">
        <v>10.2</v>
      </c>
      <c r="T70" s="66">
        <f t="shared" si="18"/>
        <v>14.11419097694454</v>
      </c>
    </row>
    <row r="71" spans="2:20" ht="12.75">
      <c r="B71" s="25" t="s">
        <v>25</v>
      </c>
      <c r="C71" s="49">
        <v>200</v>
      </c>
      <c r="D71" s="49">
        <v>50</v>
      </c>
      <c r="E71" s="49">
        <v>50</v>
      </c>
      <c r="F71" s="50">
        <f>+C71*E71/100/F$65</f>
        <v>4.11522633744856</v>
      </c>
      <c r="K71" s="25" t="s">
        <v>25</v>
      </c>
      <c r="L71" s="49">
        <v>200</v>
      </c>
      <c r="M71" s="49">
        <v>50</v>
      </c>
      <c r="N71" s="49">
        <v>50</v>
      </c>
      <c r="O71" s="51">
        <f>+L71*N71/100/F$65</f>
        <v>4.11522633744856</v>
      </c>
      <c r="S71" s="25">
        <v>11</v>
      </c>
      <c r="T71" s="66">
        <f t="shared" si="18"/>
        <v>15.385332964705503</v>
      </c>
    </row>
    <row r="72" spans="2:20" ht="12.75">
      <c r="B72" s="25" t="s">
        <v>27</v>
      </c>
      <c r="C72" s="49">
        <v>2000</v>
      </c>
      <c r="D72" s="49">
        <v>50</v>
      </c>
      <c r="E72" s="49">
        <v>50</v>
      </c>
      <c r="F72" s="51">
        <f>+C72*E72/100/F$65</f>
        <v>41.15226337448559</v>
      </c>
      <c r="K72" s="25" t="s">
        <v>27</v>
      </c>
      <c r="L72" s="49">
        <v>2000</v>
      </c>
      <c r="M72" s="49">
        <v>50</v>
      </c>
      <c r="N72" s="49">
        <v>50</v>
      </c>
      <c r="O72" s="51">
        <f>+L72*N72/100/F$65</f>
        <v>41.15226337448559</v>
      </c>
      <c r="S72" s="25">
        <v>12</v>
      </c>
      <c r="T72" s="66">
        <f t="shared" si="18"/>
        <v>16.65647495246646</v>
      </c>
    </row>
    <row r="73" spans="19:20" ht="12.75">
      <c r="S73" s="25">
        <v>13</v>
      </c>
      <c r="T73" s="66">
        <f t="shared" si="18"/>
        <v>17.92761694022742</v>
      </c>
    </row>
    <row r="74" spans="19:20" ht="12.75">
      <c r="S74" s="25">
        <v>14</v>
      </c>
      <c r="T74" s="66">
        <f t="shared" si="18"/>
        <v>19.198758927988383</v>
      </c>
    </row>
    <row r="75" spans="1:20" ht="12.75">
      <c r="A75" s="1" t="s">
        <v>35</v>
      </c>
      <c r="C75" s="25" t="s">
        <v>109</v>
      </c>
      <c r="D75" s="25" t="s">
        <v>110</v>
      </c>
      <c r="E75" s="25" t="s">
        <v>111</v>
      </c>
      <c r="F75" s="1" t="s">
        <v>21</v>
      </c>
      <c r="J75" s="1" t="s">
        <v>35</v>
      </c>
      <c r="L75" s="25" t="s">
        <v>109</v>
      </c>
      <c r="M75" s="25" t="s">
        <v>110</v>
      </c>
      <c r="N75" s="25" t="s">
        <v>111</v>
      </c>
      <c r="O75" s="1" t="s">
        <v>21</v>
      </c>
      <c r="S75" s="25">
        <v>15</v>
      </c>
      <c r="T75" s="66">
        <f t="shared" si="18"/>
        <v>20.469900915749342</v>
      </c>
    </row>
    <row r="76" spans="1:20" ht="12.75">
      <c r="A76" s="25" t="s">
        <v>1</v>
      </c>
      <c r="B76" s="25" t="s">
        <v>0</v>
      </c>
      <c r="C76" s="52">
        <f>+C68*D68/100</f>
        <v>1</v>
      </c>
      <c r="D76" s="53">
        <f>+F68</f>
        <v>0.0411522633744856</v>
      </c>
      <c r="E76" s="84">
        <f>+D76*F$66</f>
        <v>1</v>
      </c>
      <c r="F76" s="3">
        <f>+E76+C76</f>
        <v>2</v>
      </c>
      <c r="J76" s="25" t="s">
        <v>1</v>
      </c>
      <c r="K76" s="25" t="s">
        <v>0</v>
      </c>
      <c r="L76" s="52">
        <f>+L68*M68/100</f>
        <v>1</v>
      </c>
      <c r="M76" s="53">
        <f>+O68</f>
        <v>0.0411522633744856</v>
      </c>
      <c r="N76" s="84">
        <f>+M76*F$66</f>
        <v>1</v>
      </c>
      <c r="O76" s="3">
        <f>+N76+L76</f>
        <v>2</v>
      </c>
      <c r="S76" s="25">
        <v>15.2</v>
      </c>
      <c r="T76" s="66">
        <f t="shared" si="18"/>
        <v>14.11419097694454</v>
      </c>
    </row>
    <row r="77" spans="1:20" ht="12.75">
      <c r="A77" s="25" t="s">
        <v>5</v>
      </c>
      <c r="B77" s="25" t="s">
        <v>0</v>
      </c>
      <c r="C77" s="52">
        <f>+C69*D69/100</f>
        <v>0</v>
      </c>
      <c r="D77" s="53">
        <f>+F69</f>
        <v>0.205761316872428</v>
      </c>
      <c r="E77" s="84">
        <f>+D77*F$66</f>
        <v>5</v>
      </c>
      <c r="F77" s="3">
        <f>+E77+C77</f>
        <v>5</v>
      </c>
      <c r="J77" s="25" t="s">
        <v>5</v>
      </c>
      <c r="K77" s="25" t="s">
        <v>0</v>
      </c>
      <c r="L77" s="52">
        <f>+L69*M69/100</f>
        <v>0</v>
      </c>
      <c r="M77" s="53">
        <f>+O69</f>
        <v>0.205761316872428</v>
      </c>
      <c r="N77" s="84">
        <f>+M77*F$66</f>
        <v>5</v>
      </c>
      <c r="O77" s="3">
        <f>+N77+L77</f>
        <v>5</v>
      </c>
      <c r="S77" s="25">
        <v>16</v>
      </c>
      <c r="T77" s="66">
        <f t="shared" si="18"/>
        <v>15.385332964705503</v>
      </c>
    </row>
    <row r="78" spans="1:20" ht="12.75">
      <c r="A78" s="25" t="s">
        <v>10</v>
      </c>
      <c r="B78" s="25" t="s">
        <v>0</v>
      </c>
      <c r="C78" s="52">
        <f>+C70*D70/100</f>
        <v>0</v>
      </c>
      <c r="D78" s="53">
        <f>+F70</f>
        <v>0.823045267489712</v>
      </c>
      <c r="E78" s="84">
        <f>+D78*F$66</f>
        <v>20</v>
      </c>
      <c r="F78" s="3">
        <f>+E78+C78</f>
        <v>20</v>
      </c>
      <c r="J78" s="25" t="s">
        <v>10</v>
      </c>
      <c r="K78" s="25" t="s">
        <v>0</v>
      </c>
      <c r="L78" s="52">
        <f>+L70*M70/100</f>
        <v>0</v>
      </c>
      <c r="M78" s="53">
        <f>+O70</f>
        <v>0.823045267489712</v>
      </c>
      <c r="N78" s="84">
        <f>+M78*F$66</f>
        <v>20</v>
      </c>
      <c r="O78" s="3">
        <f>+N78+L78</f>
        <v>20</v>
      </c>
      <c r="S78" s="25">
        <v>17</v>
      </c>
      <c r="T78" s="66">
        <f t="shared" si="18"/>
        <v>16.65647495246646</v>
      </c>
    </row>
    <row r="79" spans="1:20" ht="12.75">
      <c r="A79" s="25" t="s">
        <v>38</v>
      </c>
      <c r="B79" s="25" t="s">
        <v>0</v>
      </c>
      <c r="C79" s="52">
        <f>+C71*D71/100</f>
        <v>100</v>
      </c>
      <c r="D79" s="53">
        <f>+F71</f>
        <v>4.11522633744856</v>
      </c>
      <c r="E79" s="84">
        <f>+D79*F$66</f>
        <v>100</v>
      </c>
      <c r="F79" s="3">
        <f>+E79+C79</f>
        <v>200</v>
      </c>
      <c r="J79" s="25" t="s">
        <v>38</v>
      </c>
      <c r="K79" s="25" t="s">
        <v>0</v>
      </c>
      <c r="L79" s="52">
        <f>+L71*M71/100</f>
        <v>100</v>
      </c>
      <c r="M79" s="53">
        <f>+O71</f>
        <v>4.11522633744856</v>
      </c>
      <c r="N79" s="84">
        <f>+M79*F$66</f>
        <v>100</v>
      </c>
      <c r="O79" s="3">
        <f>+N79+L79</f>
        <v>200</v>
      </c>
      <c r="S79" s="25">
        <v>18</v>
      </c>
      <c r="T79" s="66">
        <f t="shared" si="18"/>
        <v>17.92761694022742</v>
      </c>
    </row>
    <row r="80" spans="1:20" ht="12.75">
      <c r="A80" s="25" t="s">
        <v>53</v>
      </c>
      <c r="B80" s="25" t="s">
        <v>0</v>
      </c>
      <c r="C80" s="52">
        <f>+C72*D72/100</f>
        <v>1000</v>
      </c>
      <c r="D80" s="53">
        <f>+F72</f>
        <v>41.15226337448559</v>
      </c>
      <c r="E80" s="84">
        <f>+D80*F$66</f>
        <v>999.9999999999999</v>
      </c>
      <c r="F80" s="3">
        <f>+E80+C80</f>
        <v>2000</v>
      </c>
      <c r="J80" s="25" t="s">
        <v>53</v>
      </c>
      <c r="K80" s="25" t="s">
        <v>0</v>
      </c>
      <c r="L80" s="52">
        <f>+L72*M72/100</f>
        <v>1000</v>
      </c>
      <c r="M80" s="53">
        <f>+O72</f>
        <v>41.15226337448559</v>
      </c>
      <c r="N80" s="84">
        <f>+M80*F$66</f>
        <v>999.9999999999999</v>
      </c>
      <c r="O80" s="3">
        <f>+N80+L80</f>
        <v>2000</v>
      </c>
      <c r="S80" s="25">
        <v>19</v>
      </c>
      <c r="T80" s="66">
        <f t="shared" si="18"/>
        <v>19.198758927988383</v>
      </c>
    </row>
    <row r="81" spans="19:20" ht="12.75">
      <c r="S81" s="25">
        <v>20</v>
      </c>
      <c r="T81" s="66">
        <f t="shared" si="18"/>
        <v>20.469900915749342</v>
      </c>
    </row>
    <row r="84" ht="12.75">
      <c r="A84" s="1" t="s">
        <v>182</v>
      </c>
    </row>
    <row r="85" spans="1:3" ht="12.75">
      <c r="A85" s="25" t="s">
        <v>193</v>
      </c>
      <c r="B85" s="147">
        <f>+Explanation!B7</f>
        <v>400</v>
      </c>
      <c r="C85" s="26" t="s">
        <v>178</v>
      </c>
    </row>
    <row r="86" spans="1:3" ht="12.75">
      <c r="A86" s="25" t="s">
        <v>71</v>
      </c>
      <c r="B86" s="149">
        <f>+E150</f>
        <v>230.16167553565288</v>
      </c>
      <c r="C86" s="26" t="s">
        <v>181</v>
      </c>
    </row>
    <row r="87" ht="12.75">
      <c r="A87" s="25" t="s">
        <v>23</v>
      </c>
    </row>
    <row r="88" spans="1:3" ht="12.75">
      <c r="A88" s="25" t="s">
        <v>124</v>
      </c>
      <c r="B88" s="4">
        <v>12000</v>
      </c>
      <c r="C88" s="25" t="s">
        <v>72</v>
      </c>
    </row>
    <row r="89" spans="1:2" ht="12.75" customHeight="1">
      <c r="A89" s="25" t="s">
        <v>73</v>
      </c>
      <c r="B89" s="54">
        <v>0.2</v>
      </c>
    </row>
    <row r="90" spans="1:4" ht="12.75" customHeight="1">
      <c r="A90" s="25" t="s">
        <v>74</v>
      </c>
      <c r="B90" s="54">
        <v>0.4</v>
      </c>
      <c r="C90" s="49">
        <f>+B$88*(100%-B$89)*(B90)</f>
        <v>3840</v>
      </c>
      <c r="D90" s="25" t="s">
        <v>78</v>
      </c>
    </row>
    <row r="91" spans="1:4" ht="12.75" customHeight="1">
      <c r="A91" s="25" t="s">
        <v>75</v>
      </c>
      <c r="B91" s="54">
        <v>0.6</v>
      </c>
      <c r="C91" s="49">
        <f>+B$88*(100%-B$89)*(B91)</f>
        <v>5760</v>
      </c>
      <c r="D91" s="25" t="s">
        <v>78</v>
      </c>
    </row>
    <row r="92" ht="12.75" customHeight="1"/>
    <row r="93" spans="1:18" ht="12.75" customHeight="1">
      <c r="A93" s="16"/>
      <c r="B93" s="55"/>
      <c r="C93" s="27" t="s">
        <v>51</v>
      </c>
      <c r="D93" s="27" t="s">
        <v>58</v>
      </c>
      <c r="E93" s="27" t="s">
        <v>59</v>
      </c>
      <c r="F93" s="27" t="s">
        <v>108</v>
      </c>
      <c r="G93" s="27" t="s">
        <v>52</v>
      </c>
      <c r="H93" s="39" t="s">
        <v>6</v>
      </c>
      <c r="J93" s="16"/>
      <c r="K93" s="55"/>
      <c r="L93" s="27" t="s">
        <v>51</v>
      </c>
      <c r="M93" s="27" t="s">
        <v>58</v>
      </c>
      <c r="N93" s="27" t="s">
        <v>59</v>
      </c>
      <c r="O93" s="27" t="s">
        <v>60</v>
      </c>
      <c r="P93" s="27" t="s">
        <v>52</v>
      </c>
      <c r="Q93" s="39" t="s">
        <v>6</v>
      </c>
      <c r="R93" s="39" t="s">
        <v>91</v>
      </c>
    </row>
    <row r="94" spans="1:18" ht="12.75" customHeight="1">
      <c r="A94" s="14" t="s">
        <v>79</v>
      </c>
      <c r="B94" s="55"/>
      <c r="C94" s="27"/>
      <c r="D94" s="27"/>
      <c r="E94" s="27"/>
      <c r="F94" s="27"/>
      <c r="G94" s="27"/>
      <c r="H94" s="39"/>
      <c r="J94" s="14" t="s">
        <v>79</v>
      </c>
      <c r="K94" s="55"/>
      <c r="L94" s="27"/>
      <c r="M94" s="27"/>
      <c r="N94" s="27"/>
      <c r="O94" s="27"/>
      <c r="P94" s="27"/>
      <c r="Q94" s="39"/>
      <c r="R94" s="16"/>
    </row>
    <row r="95" spans="1:18" ht="12.75" customHeight="1">
      <c r="A95" s="15" t="s">
        <v>2</v>
      </c>
      <c r="B95" s="55"/>
      <c r="C95" s="27"/>
      <c r="D95" s="27"/>
      <c r="E95" s="27"/>
      <c r="F95" s="27"/>
      <c r="G95" s="27"/>
      <c r="H95" s="39"/>
      <c r="J95" s="15" t="s">
        <v>2</v>
      </c>
      <c r="K95" s="55"/>
      <c r="L95" s="27"/>
      <c r="M95" s="27"/>
      <c r="N95" s="27"/>
      <c r="O95" s="27"/>
      <c r="P95" s="27"/>
      <c r="Q95" s="39"/>
      <c r="R95" s="16"/>
    </row>
    <row r="96" spans="1:18" ht="12.75" customHeight="1">
      <c r="A96" s="16" t="s">
        <v>76</v>
      </c>
      <c r="B96" s="16" t="s">
        <v>3</v>
      </c>
      <c r="C96" s="56">
        <f>+$C$90*C24*$C$76</f>
        <v>3744</v>
      </c>
      <c r="D96" s="56">
        <f>+$C$90*D24*$C$76</f>
        <v>26.88</v>
      </c>
      <c r="E96" s="56">
        <f>+$C$90*E24*$C$76</f>
        <v>11.52</v>
      </c>
      <c r="F96" s="56">
        <f>+$C$90*F24*$C$76</f>
        <v>19.2</v>
      </c>
      <c r="G96" s="56">
        <f>+$C$90*G24*$C$76</f>
        <v>38.4</v>
      </c>
      <c r="H96" s="57">
        <f>SUM(C96:G96)</f>
        <v>3840</v>
      </c>
      <c r="J96" s="16" t="s">
        <v>76</v>
      </c>
      <c r="K96" s="16" t="s">
        <v>3</v>
      </c>
      <c r="L96" s="56">
        <f>+$C$91*L24*$L$76</f>
        <v>5696.64</v>
      </c>
      <c r="M96" s="56">
        <f>+$C$91*M24*$L$76</f>
        <v>5.76</v>
      </c>
      <c r="N96" s="56">
        <f>+$C$91*N24*$L$76</f>
        <v>14.4</v>
      </c>
      <c r="O96" s="56">
        <f>+$C$91*O24*$L$76</f>
        <v>14.4</v>
      </c>
      <c r="P96" s="56">
        <f>+$C$91*P24*$L$76</f>
        <v>28.8</v>
      </c>
      <c r="Q96" s="57">
        <f>SUM(L96:P96)</f>
        <v>5760</v>
      </c>
      <c r="R96" s="57">
        <f>+Q96+H96</f>
        <v>9600</v>
      </c>
    </row>
    <row r="97" spans="1:18" ht="12.75" customHeight="1">
      <c r="A97" s="17" t="s">
        <v>77</v>
      </c>
      <c r="B97" s="16" t="s">
        <v>3</v>
      </c>
      <c r="C97" s="56">
        <f>+$C$90*C24*$E$76</f>
        <v>3744</v>
      </c>
      <c r="D97" s="56">
        <f>+$C$90*D24*$E$76</f>
        <v>26.88</v>
      </c>
      <c r="E97" s="56">
        <f>+$C$90*E24*$E$76</f>
        <v>11.52</v>
      </c>
      <c r="F97" s="56">
        <f>+$C$90*F24*$E$76</f>
        <v>19.2</v>
      </c>
      <c r="G97" s="56">
        <f>+$C$90*G24*$E$76</f>
        <v>38.4</v>
      </c>
      <c r="H97" s="57">
        <f aca="true" t="shared" si="19" ref="H97:H117">SUM(C97:G97)</f>
        <v>3840</v>
      </c>
      <c r="J97" s="17" t="s">
        <v>77</v>
      </c>
      <c r="K97" s="16" t="s">
        <v>3</v>
      </c>
      <c r="L97" s="56">
        <f>+$C$91*L24*$N$76</f>
        <v>5696.64</v>
      </c>
      <c r="M97" s="56">
        <f>+$C$91*M24*$N$76</f>
        <v>5.76</v>
      </c>
      <c r="N97" s="56">
        <f>+$C$91*N24*$N$76</f>
        <v>14.4</v>
      </c>
      <c r="O97" s="56">
        <f>+$C$91*O24*$N$76</f>
        <v>14.4</v>
      </c>
      <c r="P97" s="56">
        <f>+$C$91*P24*$N$76</f>
        <v>28.8</v>
      </c>
      <c r="Q97" s="57">
        <f>SUM(L97:P97)</f>
        <v>5760</v>
      </c>
      <c r="R97" s="57">
        <f aca="true" t="shared" si="20" ref="R97:R140">+Q97+H97</f>
        <v>9600</v>
      </c>
    </row>
    <row r="98" spans="1:18" ht="12.75" customHeight="1">
      <c r="A98" s="18" t="s">
        <v>54</v>
      </c>
      <c r="B98" s="16" t="s">
        <v>3</v>
      </c>
      <c r="C98" s="19">
        <f>SUM(C96:C97)</f>
        <v>7488</v>
      </c>
      <c r="D98" s="19">
        <f>SUM(D96:D97)</f>
        <v>53.76</v>
      </c>
      <c r="E98" s="19">
        <f>SUM(E96:E97)</f>
        <v>23.04</v>
      </c>
      <c r="F98" s="19">
        <f>SUM(F96:F97)</f>
        <v>38.4</v>
      </c>
      <c r="G98" s="19">
        <f>SUM(G96:G97)</f>
        <v>76.8</v>
      </c>
      <c r="H98" s="20">
        <f t="shared" si="19"/>
        <v>7680</v>
      </c>
      <c r="J98" s="18" t="s">
        <v>54</v>
      </c>
      <c r="K98" s="16" t="s">
        <v>3</v>
      </c>
      <c r="L98" s="19">
        <f>SUM(L96:L97)</f>
        <v>11393.28</v>
      </c>
      <c r="M98" s="19">
        <f>SUM(M96:M97)</f>
        <v>11.52</v>
      </c>
      <c r="N98" s="19">
        <f>SUM(N96:N97)</f>
        <v>28.8</v>
      </c>
      <c r="O98" s="19">
        <f>SUM(O96:O97)</f>
        <v>28.8</v>
      </c>
      <c r="P98" s="19">
        <f>SUM(P96:P97)</f>
        <v>57.6</v>
      </c>
      <c r="Q98" s="20">
        <f>SUM(L98:P98)</f>
        <v>11520</v>
      </c>
      <c r="R98" s="20">
        <f t="shared" si="20"/>
        <v>19200</v>
      </c>
    </row>
    <row r="99" spans="1:18" ht="12.75" customHeight="1">
      <c r="A99" s="15" t="s">
        <v>12</v>
      </c>
      <c r="B99" s="16"/>
      <c r="C99" s="19"/>
      <c r="D99" s="19"/>
      <c r="E99" s="19"/>
      <c r="F99" s="19"/>
      <c r="G99" s="19"/>
      <c r="H99" s="20"/>
      <c r="J99" s="15" t="s">
        <v>12</v>
      </c>
      <c r="K99" s="16"/>
      <c r="L99" s="19"/>
      <c r="M99" s="19"/>
      <c r="N99" s="19"/>
      <c r="O99" s="19"/>
      <c r="P99" s="19"/>
      <c r="Q99" s="20"/>
      <c r="R99" s="57"/>
    </row>
    <row r="100" spans="1:18" ht="12.75" customHeight="1">
      <c r="A100" s="16" t="s">
        <v>76</v>
      </c>
      <c r="B100" s="34" t="s">
        <v>11</v>
      </c>
      <c r="C100" s="56">
        <f>+$C$90*$C$77*C24</f>
        <v>0</v>
      </c>
      <c r="D100" s="56">
        <f>+$C$90*$C$77*D24</f>
        <v>0</v>
      </c>
      <c r="E100" s="56">
        <f>+$C$90*$C$77*E24</f>
        <v>0</v>
      </c>
      <c r="F100" s="56">
        <f>+$C$90*$C$77*F24</f>
        <v>0</v>
      </c>
      <c r="G100" s="56">
        <f>+$C$90*$C$77*G24</f>
        <v>0</v>
      </c>
      <c r="H100" s="57">
        <f t="shared" si="19"/>
        <v>0</v>
      </c>
      <c r="J100" s="16" t="s">
        <v>76</v>
      </c>
      <c r="K100" s="34" t="s">
        <v>11</v>
      </c>
      <c r="L100" s="56">
        <f>+$C$91*$L$77*L24</f>
        <v>0</v>
      </c>
      <c r="M100" s="56">
        <f>+$C$91*$L$77*M24</f>
        <v>0</v>
      </c>
      <c r="N100" s="56">
        <f>+$C$91*$L$77*N24</f>
        <v>0</v>
      </c>
      <c r="O100" s="56">
        <f>+$C$91*$L$77*O24</f>
        <v>0</v>
      </c>
      <c r="P100" s="56">
        <f>+$C$91*$L$77*P24</f>
        <v>0</v>
      </c>
      <c r="Q100" s="57">
        <f>SUM(L100:P100)</f>
        <v>0</v>
      </c>
      <c r="R100" s="57">
        <f t="shared" si="20"/>
        <v>0</v>
      </c>
    </row>
    <row r="101" spans="1:18" ht="12.75" customHeight="1">
      <c r="A101" s="17" t="s">
        <v>77</v>
      </c>
      <c r="B101" s="34" t="s">
        <v>11</v>
      </c>
      <c r="C101" s="56">
        <f>+$C$90*$E$77*C24</f>
        <v>18720</v>
      </c>
      <c r="D101" s="56">
        <f>+$C$90*$E$77*D24</f>
        <v>134.4</v>
      </c>
      <c r="E101" s="56">
        <f>+$C$90*$E$77*E24</f>
        <v>57.6</v>
      </c>
      <c r="F101" s="56">
        <f>+$C$90*$E$77*F24</f>
        <v>96</v>
      </c>
      <c r="G101" s="56">
        <f>+$C$90*$E$77*G24</f>
        <v>192</v>
      </c>
      <c r="H101" s="57">
        <f t="shared" si="19"/>
        <v>19200</v>
      </c>
      <c r="J101" s="17" t="s">
        <v>77</v>
      </c>
      <c r="K101" s="34" t="s">
        <v>11</v>
      </c>
      <c r="L101" s="56">
        <f>+$C$91*$N$77*L24</f>
        <v>28483.2</v>
      </c>
      <c r="M101" s="56">
        <f>+$C$91*$N$77*M24</f>
        <v>28.8</v>
      </c>
      <c r="N101" s="56">
        <f>+$C$91*$N$77*N24</f>
        <v>72</v>
      </c>
      <c r="O101" s="56">
        <f>+$C$91*$N$77*O24</f>
        <v>72</v>
      </c>
      <c r="P101" s="56">
        <f>+$C$91*$N$77*P24</f>
        <v>144</v>
      </c>
      <c r="Q101" s="57">
        <f>SUM(L101:P101)</f>
        <v>28800</v>
      </c>
      <c r="R101" s="57">
        <f t="shared" si="20"/>
        <v>48000</v>
      </c>
    </row>
    <row r="102" spans="1:18" ht="12.75" customHeight="1">
      <c r="A102" s="18" t="s">
        <v>55</v>
      </c>
      <c r="B102" s="34" t="s">
        <v>11</v>
      </c>
      <c r="C102" s="19">
        <f>SUM(C100:C101)</f>
        <v>18720</v>
      </c>
      <c r="D102" s="19">
        <f>SUM(D100:D101)</f>
        <v>134.4</v>
      </c>
      <c r="E102" s="19">
        <f>SUM(E100:E101)</f>
        <v>57.6</v>
      </c>
      <c r="F102" s="19">
        <f>SUM(F100:F101)</f>
        <v>96</v>
      </c>
      <c r="G102" s="19">
        <f>SUM(G100:G101)</f>
        <v>192</v>
      </c>
      <c r="H102" s="20">
        <f t="shared" si="19"/>
        <v>19200</v>
      </c>
      <c r="J102" s="18" t="s">
        <v>55</v>
      </c>
      <c r="K102" s="34" t="s">
        <v>11</v>
      </c>
      <c r="L102" s="19">
        <f>SUM(L100:L101)</f>
        <v>28483.2</v>
      </c>
      <c r="M102" s="19">
        <f>SUM(M100:M101)</f>
        <v>28.8</v>
      </c>
      <c r="N102" s="19">
        <f>SUM(N100:N101)</f>
        <v>72</v>
      </c>
      <c r="O102" s="19">
        <f>SUM(O100:O101)</f>
        <v>72</v>
      </c>
      <c r="P102" s="19">
        <f>SUM(P100:P101)</f>
        <v>144</v>
      </c>
      <c r="Q102" s="20">
        <f>SUM(L102:P102)</f>
        <v>28800</v>
      </c>
      <c r="R102" s="20">
        <f t="shared" si="20"/>
        <v>48000</v>
      </c>
    </row>
    <row r="103" spans="1:18" ht="12.75" customHeight="1">
      <c r="A103" s="15" t="s">
        <v>13</v>
      </c>
      <c r="B103" s="34"/>
      <c r="C103" s="19"/>
      <c r="D103" s="19"/>
      <c r="E103" s="19"/>
      <c r="F103" s="19"/>
      <c r="G103" s="19"/>
      <c r="H103" s="20"/>
      <c r="J103" s="15" t="s">
        <v>13</v>
      </c>
      <c r="K103" s="34"/>
      <c r="L103" s="19"/>
      <c r="M103" s="19"/>
      <c r="N103" s="19"/>
      <c r="O103" s="19"/>
      <c r="P103" s="19"/>
      <c r="Q103" s="20"/>
      <c r="R103" s="57"/>
    </row>
    <row r="104" spans="1:18" ht="12.75" customHeight="1">
      <c r="A104" s="16" t="s">
        <v>76</v>
      </c>
      <c r="B104" s="34" t="s">
        <v>15</v>
      </c>
      <c r="C104" s="56"/>
      <c r="D104" s="56"/>
      <c r="E104" s="56">
        <f>+$C$90*E24*$C$78</f>
        <v>0</v>
      </c>
      <c r="F104" s="56">
        <f>+$C$90*F24*$C$78</f>
        <v>0</v>
      </c>
      <c r="G104" s="56">
        <f>+$C$90*G24*$C$78</f>
        <v>0</v>
      </c>
      <c r="H104" s="57">
        <f t="shared" si="19"/>
        <v>0</v>
      </c>
      <c r="J104" s="16" t="s">
        <v>76</v>
      </c>
      <c r="K104" s="34" t="s">
        <v>15</v>
      </c>
      <c r="L104" s="56"/>
      <c r="M104" s="56"/>
      <c r="N104" s="56">
        <f>+$C$91*N24*$L$78</f>
        <v>0</v>
      </c>
      <c r="O104" s="56">
        <f>+$C$91*O24*$L$78</f>
        <v>0</v>
      </c>
      <c r="P104" s="56">
        <f>+$C$91*P24*$L$78</f>
        <v>0</v>
      </c>
      <c r="Q104" s="57">
        <f>SUM(L104:P104)</f>
        <v>0</v>
      </c>
      <c r="R104" s="57">
        <f t="shared" si="20"/>
        <v>0</v>
      </c>
    </row>
    <row r="105" spans="1:18" ht="12.75" customHeight="1">
      <c r="A105" s="17" t="s">
        <v>77</v>
      </c>
      <c r="B105" s="34" t="s">
        <v>15</v>
      </c>
      <c r="C105" s="56"/>
      <c r="D105" s="56"/>
      <c r="E105" s="56">
        <f>+$C$90*$E$78*E24</f>
        <v>230.4</v>
      </c>
      <c r="F105" s="56">
        <f>+$C$90*$E$78*F24</f>
        <v>384</v>
      </c>
      <c r="G105" s="56">
        <f>+$C$90*$E$78*G24</f>
        <v>768</v>
      </c>
      <c r="H105" s="57">
        <f t="shared" si="19"/>
        <v>1382.4</v>
      </c>
      <c r="J105" s="17" t="s">
        <v>77</v>
      </c>
      <c r="K105" s="34" t="s">
        <v>15</v>
      </c>
      <c r="L105" s="56"/>
      <c r="M105" s="56"/>
      <c r="N105" s="56">
        <f>+$C$91*$N$78*N24</f>
        <v>288</v>
      </c>
      <c r="O105" s="56">
        <f>+$C$91*$N$78*O24</f>
        <v>288</v>
      </c>
      <c r="P105" s="56">
        <f>+$C$91*$N$78*P24</f>
        <v>576</v>
      </c>
      <c r="Q105" s="57">
        <f>SUM(L105:P105)</f>
        <v>1152</v>
      </c>
      <c r="R105" s="57">
        <f t="shared" si="20"/>
        <v>2534.4</v>
      </c>
    </row>
    <row r="106" spans="1:18" ht="12.75" customHeight="1">
      <c r="A106" s="18" t="s">
        <v>80</v>
      </c>
      <c r="B106" s="34" t="s">
        <v>15</v>
      </c>
      <c r="C106" s="20">
        <f aca="true" t="shared" si="21" ref="C106:H106">SUM(C104:C105)</f>
        <v>0</v>
      </c>
      <c r="D106" s="20">
        <f t="shared" si="21"/>
        <v>0</v>
      </c>
      <c r="E106" s="20">
        <f t="shared" si="21"/>
        <v>230.4</v>
      </c>
      <c r="F106" s="20">
        <f t="shared" si="21"/>
        <v>384</v>
      </c>
      <c r="G106" s="20">
        <f t="shared" si="21"/>
        <v>768</v>
      </c>
      <c r="H106" s="20">
        <f t="shared" si="21"/>
        <v>1382.4</v>
      </c>
      <c r="J106" s="18" t="s">
        <v>80</v>
      </c>
      <c r="K106" s="34" t="s">
        <v>15</v>
      </c>
      <c r="L106" s="20"/>
      <c r="M106" s="20"/>
      <c r="N106" s="20">
        <f>SUM(N104:N105)</f>
        <v>288</v>
      </c>
      <c r="O106" s="20">
        <f>SUM(O104:O105)</f>
        <v>288</v>
      </c>
      <c r="P106" s="20">
        <f>SUM(P104:P105)</f>
        <v>576</v>
      </c>
      <c r="Q106" s="20">
        <f>SUM(Q104:Q105)</f>
        <v>1152</v>
      </c>
      <c r="R106" s="20">
        <f t="shared" si="20"/>
        <v>2534.4</v>
      </c>
    </row>
    <row r="107" spans="1:18" ht="12.75" customHeight="1">
      <c r="A107" s="15" t="s">
        <v>14</v>
      </c>
      <c r="B107" s="34"/>
      <c r="C107" s="20"/>
      <c r="D107" s="20"/>
      <c r="E107" s="20"/>
      <c r="F107" s="20"/>
      <c r="G107" s="20"/>
      <c r="H107" s="20"/>
      <c r="J107" s="15" t="s">
        <v>14</v>
      </c>
      <c r="K107" s="34"/>
      <c r="L107" s="20"/>
      <c r="M107" s="20"/>
      <c r="N107" s="20"/>
      <c r="O107" s="20"/>
      <c r="P107" s="20"/>
      <c r="Q107" s="20"/>
      <c r="R107" s="57"/>
    </row>
    <row r="108" spans="1:18" ht="12.75" customHeight="1">
      <c r="A108" s="16" t="s">
        <v>76</v>
      </c>
      <c r="B108" s="34" t="s">
        <v>16</v>
      </c>
      <c r="C108" s="56"/>
      <c r="D108" s="56"/>
      <c r="E108" s="56"/>
      <c r="F108" s="56"/>
      <c r="G108" s="58">
        <f>+$C$90*$C$79*G27</f>
        <v>2687.9999999999995</v>
      </c>
      <c r="H108" s="57">
        <f t="shared" si="19"/>
        <v>2687.9999999999995</v>
      </c>
      <c r="J108" s="16" t="s">
        <v>76</v>
      </c>
      <c r="K108" s="34" t="s">
        <v>16</v>
      </c>
      <c r="L108" s="56"/>
      <c r="M108" s="56"/>
      <c r="N108" s="56"/>
      <c r="O108" s="56"/>
      <c r="P108" s="58">
        <f>+$C$91*$L$79*P27</f>
        <v>2015.9999999999998</v>
      </c>
      <c r="Q108" s="57">
        <f>SUM(L108:P108)</f>
        <v>2015.9999999999998</v>
      </c>
      <c r="R108" s="57">
        <f t="shared" si="20"/>
        <v>4703.999999999999</v>
      </c>
    </row>
    <row r="109" spans="1:18" ht="12.75" customHeight="1">
      <c r="A109" s="17" t="s">
        <v>77</v>
      </c>
      <c r="B109" s="34" t="s">
        <v>16</v>
      </c>
      <c r="C109" s="56"/>
      <c r="D109" s="56"/>
      <c r="E109" s="56"/>
      <c r="F109" s="56"/>
      <c r="G109" s="58">
        <f>+$C$90*$E$79*G27</f>
        <v>2687.9999999999995</v>
      </c>
      <c r="H109" s="57">
        <f t="shared" si="19"/>
        <v>2687.9999999999995</v>
      </c>
      <c r="J109" s="17" t="s">
        <v>77</v>
      </c>
      <c r="K109" s="34" t="s">
        <v>16</v>
      </c>
      <c r="L109" s="56"/>
      <c r="M109" s="56"/>
      <c r="N109" s="56"/>
      <c r="O109" s="56"/>
      <c r="P109" s="58">
        <f>+$C$91*$N$79*P27</f>
        <v>2015.9999999999998</v>
      </c>
      <c r="Q109" s="57">
        <f>SUM(L109:P109)</f>
        <v>2015.9999999999998</v>
      </c>
      <c r="R109" s="57">
        <f t="shared" si="20"/>
        <v>4703.999999999999</v>
      </c>
    </row>
    <row r="110" spans="1:18" ht="12.75" customHeight="1">
      <c r="A110" s="18" t="s">
        <v>81</v>
      </c>
      <c r="B110" s="34" t="s">
        <v>16</v>
      </c>
      <c r="C110" s="20">
        <f aca="true" t="shared" si="22" ref="C110:H110">SUM(C108:C109)</f>
        <v>0</v>
      </c>
      <c r="D110" s="20">
        <f t="shared" si="22"/>
        <v>0</v>
      </c>
      <c r="E110" s="20">
        <f t="shared" si="22"/>
        <v>0</v>
      </c>
      <c r="F110" s="20">
        <f t="shared" si="22"/>
        <v>0</v>
      </c>
      <c r="G110" s="20">
        <f t="shared" si="22"/>
        <v>5375.999999999999</v>
      </c>
      <c r="H110" s="20">
        <f t="shared" si="22"/>
        <v>5375.999999999999</v>
      </c>
      <c r="J110" s="18" t="s">
        <v>81</v>
      </c>
      <c r="K110" s="34" t="s">
        <v>16</v>
      </c>
      <c r="L110" s="20">
        <f aca="true" t="shared" si="23" ref="L110:Q110">SUM(L108:L109)</f>
        <v>0</v>
      </c>
      <c r="M110" s="20">
        <f t="shared" si="23"/>
        <v>0</v>
      </c>
      <c r="N110" s="20">
        <f t="shared" si="23"/>
        <v>0</v>
      </c>
      <c r="O110" s="20">
        <f t="shared" si="23"/>
        <v>0</v>
      </c>
      <c r="P110" s="20">
        <f t="shared" si="23"/>
        <v>4031.9999999999995</v>
      </c>
      <c r="Q110" s="20">
        <f t="shared" si="23"/>
        <v>4031.9999999999995</v>
      </c>
      <c r="R110" s="20">
        <f t="shared" si="20"/>
        <v>9407.999999999998</v>
      </c>
    </row>
    <row r="111" spans="1:18" ht="12.75" customHeight="1">
      <c r="A111" s="15" t="s">
        <v>82</v>
      </c>
      <c r="B111" s="34"/>
      <c r="C111" s="20"/>
      <c r="D111" s="20"/>
      <c r="E111" s="20"/>
      <c r="F111" s="20"/>
      <c r="G111" s="20"/>
      <c r="H111" s="20"/>
      <c r="J111" s="15" t="s">
        <v>82</v>
      </c>
      <c r="K111" s="34"/>
      <c r="L111" s="20"/>
      <c r="M111" s="20"/>
      <c r="N111" s="20"/>
      <c r="O111" s="20"/>
      <c r="P111" s="20"/>
      <c r="Q111" s="20"/>
      <c r="R111" s="57"/>
    </row>
    <row r="112" spans="1:18" ht="12.75" customHeight="1">
      <c r="A112" s="16" t="s">
        <v>76</v>
      </c>
      <c r="B112" s="34" t="s">
        <v>56</v>
      </c>
      <c r="C112" s="56"/>
      <c r="D112" s="56"/>
      <c r="E112" s="56">
        <f>+$C$90*$C$77*E$24</f>
        <v>0</v>
      </c>
      <c r="F112" s="56">
        <f>+$C$90*$C$77*F$24</f>
        <v>0</v>
      </c>
      <c r="G112" s="56">
        <f>+$C$90*$C$77*G$24</f>
        <v>0</v>
      </c>
      <c r="H112" s="57">
        <f t="shared" si="19"/>
        <v>0</v>
      </c>
      <c r="J112" s="16" t="s">
        <v>76</v>
      </c>
      <c r="K112" s="34" t="s">
        <v>56</v>
      </c>
      <c r="L112" s="56"/>
      <c r="M112" s="56"/>
      <c r="N112" s="56">
        <f>+$C$91*$L$77*N$24</f>
        <v>0</v>
      </c>
      <c r="O112" s="56">
        <f>+$C$91*$L$77*O$24</f>
        <v>0</v>
      </c>
      <c r="P112" s="56">
        <f>+$C$91*$L$77*P$24</f>
        <v>0</v>
      </c>
      <c r="Q112" s="57">
        <f>SUM(L112:P112)</f>
        <v>0</v>
      </c>
      <c r="R112" s="57">
        <f t="shared" si="20"/>
        <v>0</v>
      </c>
    </row>
    <row r="113" spans="1:18" ht="12.75" customHeight="1">
      <c r="A113" s="17" t="s">
        <v>77</v>
      </c>
      <c r="B113" s="34" t="s">
        <v>56</v>
      </c>
      <c r="C113" s="56"/>
      <c r="D113" s="56"/>
      <c r="E113" s="56">
        <f>+$C$90*$E$77*E$24</f>
        <v>57.6</v>
      </c>
      <c r="F113" s="56">
        <f>+$C$90*$E$77*F$24</f>
        <v>96</v>
      </c>
      <c r="G113" s="56">
        <f>+$C$90*$E$77*G$24</f>
        <v>192</v>
      </c>
      <c r="H113" s="57">
        <f t="shared" si="19"/>
        <v>345.6</v>
      </c>
      <c r="J113" s="17" t="s">
        <v>77</v>
      </c>
      <c r="K113" s="34" t="s">
        <v>56</v>
      </c>
      <c r="L113" s="56"/>
      <c r="M113" s="56"/>
      <c r="N113" s="56">
        <f>+$C$91*$N$77*N$24</f>
        <v>72</v>
      </c>
      <c r="O113" s="56">
        <f>+$C$91*$N$77*O$24</f>
        <v>72</v>
      </c>
      <c r="P113" s="56">
        <f>+$C$91*$N$77*P$24</f>
        <v>144</v>
      </c>
      <c r="Q113" s="57">
        <f>SUM(L113:P113)</f>
        <v>288</v>
      </c>
      <c r="R113" s="57">
        <f t="shared" si="20"/>
        <v>633.6</v>
      </c>
    </row>
    <row r="114" spans="1:18" ht="12.75" customHeight="1">
      <c r="A114" s="18" t="s">
        <v>83</v>
      </c>
      <c r="B114" s="34" t="s">
        <v>56</v>
      </c>
      <c r="C114" s="20">
        <f aca="true" t="shared" si="24" ref="C114:H114">SUM(C112:C113)</f>
        <v>0</v>
      </c>
      <c r="D114" s="20">
        <f t="shared" si="24"/>
        <v>0</v>
      </c>
      <c r="E114" s="20">
        <f t="shared" si="24"/>
        <v>57.6</v>
      </c>
      <c r="F114" s="20">
        <f t="shared" si="24"/>
        <v>96</v>
      </c>
      <c r="G114" s="20">
        <f t="shared" si="24"/>
        <v>192</v>
      </c>
      <c r="H114" s="20">
        <f t="shared" si="24"/>
        <v>345.6</v>
      </c>
      <c r="J114" s="18" t="s">
        <v>83</v>
      </c>
      <c r="K114" s="34" t="s">
        <v>56</v>
      </c>
      <c r="L114" s="20">
        <f aca="true" t="shared" si="25" ref="L114:Q114">SUM(L112:L113)</f>
        <v>0</v>
      </c>
      <c r="M114" s="20">
        <f t="shared" si="25"/>
        <v>0</v>
      </c>
      <c r="N114" s="20">
        <f t="shared" si="25"/>
        <v>72</v>
      </c>
      <c r="O114" s="20">
        <f t="shared" si="25"/>
        <v>72</v>
      </c>
      <c r="P114" s="20">
        <f t="shared" si="25"/>
        <v>144</v>
      </c>
      <c r="Q114" s="20">
        <f t="shared" si="25"/>
        <v>288</v>
      </c>
      <c r="R114" s="20">
        <f t="shared" si="20"/>
        <v>633.6</v>
      </c>
    </row>
    <row r="115" spans="1:18" ht="12.75" customHeight="1">
      <c r="A115" s="15" t="s">
        <v>17</v>
      </c>
      <c r="B115" s="34"/>
      <c r="C115" s="20"/>
      <c r="D115" s="20"/>
      <c r="E115" s="20"/>
      <c r="F115" s="20"/>
      <c r="G115" s="20"/>
      <c r="H115" s="20"/>
      <c r="J115" s="15" t="s">
        <v>17</v>
      </c>
      <c r="K115" s="34"/>
      <c r="L115" s="20"/>
      <c r="M115" s="20"/>
      <c r="N115" s="20"/>
      <c r="O115" s="20"/>
      <c r="P115" s="20"/>
      <c r="Q115" s="20"/>
      <c r="R115" s="57"/>
    </row>
    <row r="116" spans="1:18" ht="12.75" customHeight="1">
      <c r="A116" s="16" t="s">
        <v>76</v>
      </c>
      <c r="B116" s="34" t="s">
        <v>84</v>
      </c>
      <c r="C116" s="56">
        <f aca="true" t="shared" si="26" ref="C116:G117">+C96+C100+C104+C108+C112</f>
        <v>3744</v>
      </c>
      <c r="D116" s="56">
        <f t="shared" si="26"/>
        <v>26.88</v>
      </c>
      <c r="E116" s="56">
        <f t="shared" si="26"/>
        <v>11.52</v>
      </c>
      <c r="F116" s="56">
        <f t="shared" si="26"/>
        <v>19.2</v>
      </c>
      <c r="G116" s="56">
        <f t="shared" si="26"/>
        <v>2726.3999999999996</v>
      </c>
      <c r="H116" s="57">
        <f t="shared" si="19"/>
        <v>6528</v>
      </c>
      <c r="J116" s="16" t="s">
        <v>76</v>
      </c>
      <c r="K116" s="34" t="s">
        <v>84</v>
      </c>
      <c r="L116" s="56">
        <f aca="true" t="shared" si="27" ref="L116:P117">+L96+L100+L104+L108+L112</f>
        <v>5696.64</v>
      </c>
      <c r="M116" s="56">
        <f t="shared" si="27"/>
        <v>5.76</v>
      </c>
      <c r="N116" s="56">
        <f t="shared" si="27"/>
        <v>14.4</v>
      </c>
      <c r="O116" s="56">
        <f t="shared" si="27"/>
        <v>14.4</v>
      </c>
      <c r="P116" s="56">
        <f t="shared" si="27"/>
        <v>2044.7999999999997</v>
      </c>
      <c r="Q116" s="57">
        <f>SUM(L116:P116)</f>
        <v>7776</v>
      </c>
      <c r="R116" s="57">
        <f t="shared" si="20"/>
        <v>14304</v>
      </c>
    </row>
    <row r="117" spans="1:18" ht="12.75" customHeight="1">
      <c r="A117" s="17" t="s">
        <v>77</v>
      </c>
      <c r="B117" s="34" t="s">
        <v>84</v>
      </c>
      <c r="C117" s="56">
        <f t="shared" si="26"/>
        <v>22464</v>
      </c>
      <c r="D117" s="56">
        <f t="shared" si="26"/>
        <v>161.28</v>
      </c>
      <c r="E117" s="56">
        <f t="shared" si="26"/>
        <v>357.12</v>
      </c>
      <c r="F117" s="56">
        <f t="shared" si="26"/>
        <v>595.2</v>
      </c>
      <c r="G117" s="56">
        <f t="shared" si="26"/>
        <v>3878.3999999999996</v>
      </c>
      <c r="H117" s="57">
        <f t="shared" si="19"/>
        <v>27456</v>
      </c>
      <c r="J117" s="17" t="s">
        <v>77</v>
      </c>
      <c r="K117" s="34" t="s">
        <v>84</v>
      </c>
      <c r="L117" s="56">
        <f t="shared" si="27"/>
        <v>34179.840000000004</v>
      </c>
      <c r="M117" s="56">
        <f t="shared" si="27"/>
        <v>34.56</v>
      </c>
      <c r="N117" s="56">
        <f t="shared" si="27"/>
        <v>446.4</v>
      </c>
      <c r="O117" s="56">
        <f t="shared" si="27"/>
        <v>446.4</v>
      </c>
      <c r="P117" s="56">
        <f t="shared" si="27"/>
        <v>2908.7999999999997</v>
      </c>
      <c r="Q117" s="57">
        <f>SUM(L117:P117)</f>
        <v>38016.00000000001</v>
      </c>
      <c r="R117" s="57">
        <f t="shared" si="20"/>
        <v>65472.00000000001</v>
      </c>
    </row>
    <row r="118" spans="1:18" ht="12.75" customHeight="1">
      <c r="A118" s="18" t="s">
        <v>85</v>
      </c>
      <c r="B118" s="34" t="s">
        <v>84</v>
      </c>
      <c r="C118" s="20">
        <f aca="true" t="shared" si="28" ref="C118:H118">SUM(C116:C117)</f>
        <v>26208</v>
      </c>
      <c r="D118" s="20">
        <f t="shared" si="28"/>
        <v>188.16</v>
      </c>
      <c r="E118" s="20">
        <f t="shared" si="28"/>
        <v>368.64</v>
      </c>
      <c r="F118" s="20">
        <f t="shared" si="28"/>
        <v>614.4000000000001</v>
      </c>
      <c r="G118" s="20">
        <f t="shared" si="28"/>
        <v>6604.799999999999</v>
      </c>
      <c r="H118" s="20">
        <f t="shared" si="28"/>
        <v>33984</v>
      </c>
      <c r="J118" s="18" t="s">
        <v>85</v>
      </c>
      <c r="K118" s="34" t="s">
        <v>84</v>
      </c>
      <c r="L118" s="20">
        <f aca="true" t="shared" si="29" ref="L118:Q118">SUM(L116:L117)</f>
        <v>39876.48</v>
      </c>
      <c r="M118" s="20">
        <f t="shared" si="29"/>
        <v>40.32</v>
      </c>
      <c r="N118" s="20">
        <f t="shared" si="29"/>
        <v>460.79999999999995</v>
      </c>
      <c r="O118" s="20">
        <f t="shared" si="29"/>
        <v>460.79999999999995</v>
      </c>
      <c r="P118" s="20">
        <f t="shared" si="29"/>
        <v>4953.599999999999</v>
      </c>
      <c r="Q118" s="20">
        <f t="shared" si="29"/>
        <v>45792.00000000001</v>
      </c>
      <c r="R118" s="20">
        <f t="shared" si="20"/>
        <v>79776</v>
      </c>
    </row>
    <row r="119" spans="1:18" ht="12.75" customHeight="1">
      <c r="A119" s="2" t="s">
        <v>9</v>
      </c>
      <c r="B119" s="25" t="s">
        <v>4</v>
      </c>
      <c r="C119" s="63"/>
      <c r="D119" s="63"/>
      <c r="E119" s="63"/>
      <c r="F119" s="63"/>
      <c r="G119" s="63"/>
      <c r="H119" s="22">
        <f>0.1233*H118</f>
        <v>4190.2272</v>
      </c>
      <c r="J119" s="15" t="s">
        <v>9</v>
      </c>
      <c r="K119" s="16" t="s">
        <v>4</v>
      </c>
      <c r="L119" s="85">
        <f>0.1233*L118</f>
        <v>4916.7699840000005</v>
      </c>
      <c r="M119" s="85">
        <f aca="true" t="shared" si="30" ref="M119:R119">0.1233*M118</f>
        <v>4.971456</v>
      </c>
      <c r="N119" s="85">
        <f t="shared" si="30"/>
        <v>56.81664</v>
      </c>
      <c r="O119" s="85">
        <f t="shared" si="30"/>
        <v>56.81664</v>
      </c>
      <c r="P119" s="85">
        <f t="shared" si="30"/>
        <v>610.77888</v>
      </c>
      <c r="Q119" s="85">
        <f t="shared" si="30"/>
        <v>5646.1536000000015</v>
      </c>
      <c r="R119" s="63">
        <f t="shared" si="30"/>
        <v>9836.3808</v>
      </c>
    </row>
    <row r="120" spans="1:18" ht="12.75" customHeight="1">
      <c r="A120" s="23" t="s">
        <v>113</v>
      </c>
      <c r="B120" s="86">
        <v>0.2</v>
      </c>
      <c r="C120" s="60" t="s">
        <v>86</v>
      </c>
      <c r="D120" s="60"/>
      <c r="E120" s="34"/>
      <c r="F120" s="34"/>
      <c r="G120" s="34"/>
      <c r="H120" s="34"/>
      <c r="J120" s="15" t="s">
        <v>113</v>
      </c>
      <c r="K120" s="98">
        <v>0.2</v>
      </c>
      <c r="L120" s="34" t="s">
        <v>86</v>
      </c>
      <c r="M120" s="34"/>
      <c r="N120" s="34"/>
      <c r="O120" s="34"/>
      <c r="P120" s="34"/>
      <c r="Q120" s="34"/>
      <c r="R120" s="57"/>
    </row>
    <row r="121" spans="1:18" ht="12.75" customHeight="1">
      <c r="A121" s="16" t="s">
        <v>76</v>
      </c>
      <c r="B121" s="61" t="s">
        <v>4</v>
      </c>
      <c r="C121" s="62">
        <f>+$C$90*$C$77*C61*$B120</f>
        <v>0</v>
      </c>
      <c r="D121" s="62">
        <f>+$C$90*$C$77*D61*$B120</f>
        <v>0</v>
      </c>
      <c r="E121" s="62">
        <f>+$C$90*$C$77*E61*$B120</f>
        <v>0</v>
      </c>
      <c r="F121" s="62">
        <f>+$C$90*$C$77*F61*$B120</f>
        <v>0</v>
      </c>
      <c r="G121" s="62">
        <f>+$C$90*$C$77*G61*$B120</f>
        <v>0</v>
      </c>
      <c r="H121" s="57">
        <f aca="true" t="shared" si="31" ref="H121:H134">SUM(C121:G121)</f>
        <v>0</v>
      </c>
      <c r="J121" s="16" t="s">
        <v>76</v>
      </c>
      <c r="K121" s="34" t="s">
        <v>4</v>
      </c>
      <c r="L121" s="63">
        <f>+$C$91*$L$77*L61*$B120</f>
        <v>0</v>
      </c>
      <c r="M121" s="63">
        <f>+$C$91*$L$77*M61*$B120</f>
        <v>0</v>
      </c>
      <c r="N121" s="63">
        <f>+$C$91*$L$77*N61*$B120</f>
        <v>0</v>
      </c>
      <c r="O121" s="63">
        <f>+$C$91*$L$77*O61*$B120</f>
        <v>0</v>
      </c>
      <c r="P121" s="63">
        <f>+$C$91*$L$77*P61*$B120</f>
        <v>0</v>
      </c>
      <c r="Q121" s="57">
        <f>SUM(L121:P121)</f>
        <v>0</v>
      </c>
      <c r="R121" s="57">
        <f t="shared" si="20"/>
        <v>0</v>
      </c>
    </row>
    <row r="122" spans="1:18" ht="12.75" customHeight="1">
      <c r="A122" s="17" t="s">
        <v>77</v>
      </c>
      <c r="B122" s="34" t="s">
        <v>4</v>
      </c>
      <c r="C122" s="63">
        <f>+$C$90*$E$77*C61*$B120</f>
        <v>3771.8704353496832</v>
      </c>
      <c r="D122" s="63">
        <f>+$C$90*$E$77*D61*$B120</f>
        <v>26.941232749490844</v>
      </c>
      <c r="E122" s="63">
        <f>+$C$90*$E$77*E61*$B120</f>
        <v>8.48736</v>
      </c>
      <c r="F122" s="63">
        <f>+$C$90*$E$77*F61*$B120</f>
        <v>14.1456</v>
      </c>
      <c r="G122" s="63">
        <f>+$C$90*$E$77*G61*$B120</f>
        <v>18.55537190082645</v>
      </c>
      <c r="H122" s="57">
        <f t="shared" si="31"/>
        <v>3840.0000000000005</v>
      </c>
      <c r="J122" s="17" t="s">
        <v>77</v>
      </c>
      <c r="K122" s="34" t="s">
        <v>4</v>
      </c>
      <c r="L122" s="63">
        <f>+$C$91*$N$77*L61*$B120</f>
        <v>5719.080867438017</v>
      </c>
      <c r="M122" s="63">
        <f>+$C$91*$N$77*M61*$B120</f>
        <v>5.784203636363637</v>
      </c>
      <c r="N122" s="63">
        <f>+$C$91*$N$77*N61*$B120</f>
        <v>10.6092</v>
      </c>
      <c r="O122" s="63">
        <f>+$C$91*$N$77*O61*$B120</f>
        <v>10.6092</v>
      </c>
      <c r="P122" s="63">
        <f>+$C$91*$N$77*P61*$B120</f>
        <v>13.916528925619838</v>
      </c>
      <c r="Q122" s="57">
        <f>SUM(L122:P122)</f>
        <v>5760</v>
      </c>
      <c r="R122" s="57">
        <f t="shared" si="20"/>
        <v>9600</v>
      </c>
    </row>
    <row r="123" spans="1:18" ht="12.75" customHeight="1">
      <c r="A123" s="18" t="s">
        <v>87</v>
      </c>
      <c r="B123" s="34" t="s">
        <v>4</v>
      </c>
      <c r="C123" s="20">
        <f aca="true" t="shared" si="32" ref="C123:H123">SUM(C121:C122)</f>
        <v>3771.8704353496832</v>
      </c>
      <c r="D123" s="20">
        <f t="shared" si="32"/>
        <v>26.941232749490844</v>
      </c>
      <c r="E123" s="20">
        <f t="shared" si="32"/>
        <v>8.48736</v>
      </c>
      <c r="F123" s="20">
        <f t="shared" si="32"/>
        <v>14.1456</v>
      </c>
      <c r="G123" s="20">
        <f t="shared" si="32"/>
        <v>18.55537190082645</v>
      </c>
      <c r="H123" s="20">
        <f t="shared" si="32"/>
        <v>3840.0000000000005</v>
      </c>
      <c r="J123" s="18" t="s">
        <v>87</v>
      </c>
      <c r="K123" s="34" t="s">
        <v>4</v>
      </c>
      <c r="L123" s="20">
        <f aca="true" t="shared" si="33" ref="L123:Q123">SUM(L121:L122)</f>
        <v>5719.080867438017</v>
      </c>
      <c r="M123" s="20">
        <f t="shared" si="33"/>
        <v>5.784203636363637</v>
      </c>
      <c r="N123" s="20">
        <f t="shared" si="33"/>
        <v>10.6092</v>
      </c>
      <c r="O123" s="20">
        <f t="shared" si="33"/>
        <v>10.6092</v>
      </c>
      <c r="P123" s="20">
        <f t="shared" si="33"/>
        <v>13.916528925619838</v>
      </c>
      <c r="Q123" s="20">
        <f t="shared" si="33"/>
        <v>5760</v>
      </c>
      <c r="R123" s="20">
        <f t="shared" si="20"/>
        <v>9600</v>
      </c>
    </row>
    <row r="124" spans="1:18" ht="12.75" customHeight="1">
      <c r="A124" s="21" t="s">
        <v>13</v>
      </c>
      <c r="B124" s="34"/>
      <c r="C124" s="20"/>
      <c r="D124" s="20"/>
      <c r="E124" s="20"/>
      <c r="F124" s="20"/>
      <c r="G124" s="20"/>
      <c r="H124" s="20"/>
      <c r="J124" s="21" t="s">
        <v>13</v>
      </c>
      <c r="K124" s="34"/>
      <c r="L124" s="20"/>
      <c r="M124" s="20"/>
      <c r="N124" s="20"/>
      <c r="O124" s="20"/>
      <c r="P124" s="20"/>
      <c r="Q124" s="20"/>
      <c r="R124" s="57"/>
    </row>
    <row r="125" spans="1:18" ht="12.75" customHeight="1">
      <c r="A125" s="16" t="s">
        <v>76</v>
      </c>
      <c r="B125" s="34" t="s">
        <v>4</v>
      </c>
      <c r="C125" s="58"/>
      <c r="D125" s="58"/>
      <c r="E125" s="58">
        <f>+$B$120*$C$90*$C78*E33</f>
        <v>0</v>
      </c>
      <c r="F125" s="58">
        <f>+$B$120*$C$90*$C78*F33</f>
        <v>0</v>
      </c>
      <c r="G125" s="58">
        <f>+$B$120*$C$90*$C78*G33</f>
        <v>0</v>
      </c>
      <c r="H125" s="57">
        <f t="shared" si="31"/>
        <v>0</v>
      </c>
      <c r="J125" s="16" t="s">
        <v>76</v>
      </c>
      <c r="K125" s="34" t="s">
        <v>4</v>
      </c>
      <c r="L125" s="58"/>
      <c r="M125" s="58"/>
      <c r="N125" s="58">
        <f>+$B$120*$C$91*$L78*N33</f>
        <v>0</v>
      </c>
      <c r="O125" s="58">
        <f>+$B$120*$C$91*$L78*O33</f>
        <v>0</v>
      </c>
      <c r="P125" s="58">
        <f>+$B$120*$C$91*$L78*P33</f>
        <v>0</v>
      </c>
      <c r="Q125" s="57">
        <f>SUM(L125:P125)</f>
        <v>0</v>
      </c>
      <c r="R125" s="57">
        <f t="shared" si="20"/>
        <v>0</v>
      </c>
    </row>
    <row r="126" spans="1:18" ht="12.75" customHeight="1">
      <c r="A126" s="17" t="s">
        <v>77</v>
      </c>
      <c r="B126" s="34" t="s">
        <v>4</v>
      </c>
      <c r="C126" s="58"/>
      <c r="D126" s="58"/>
      <c r="E126" s="58">
        <f>+$B$120*$C$90*$E78*E33</f>
        <v>39.029759999999996</v>
      </c>
      <c r="F126" s="58">
        <f>+$B$120*$C$90*$E78*F33</f>
        <v>65.04959999999998</v>
      </c>
      <c r="G126" s="58">
        <f>+$B$120*$C$90*$E78*G33</f>
        <v>103.67999999999999</v>
      </c>
      <c r="H126" s="57">
        <f t="shared" si="31"/>
        <v>207.75935999999996</v>
      </c>
      <c r="J126" s="17" t="s">
        <v>77</v>
      </c>
      <c r="K126" s="34" t="s">
        <v>4</v>
      </c>
      <c r="L126" s="58"/>
      <c r="M126" s="58"/>
      <c r="N126" s="58">
        <f>+$B$120*$C$91*$N78*N33</f>
        <v>48.78719999999999</v>
      </c>
      <c r="O126" s="58">
        <f>+$B$120*$C$91*$N78*O33</f>
        <v>48.78719999999999</v>
      </c>
      <c r="P126" s="58">
        <f>+$B$120*$C$91*$N78*P33</f>
        <v>77.76</v>
      </c>
      <c r="Q126" s="57">
        <f>SUM(L126:P126)</f>
        <v>175.3344</v>
      </c>
      <c r="R126" s="57">
        <f t="shared" si="20"/>
        <v>383.09376</v>
      </c>
    </row>
    <row r="127" spans="1:18" ht="12.75" customHeight="1">
      <c r="A127" s="18" t="s">
        <v>88</v>
      </c>
      <c r="B127" s="34" t="s">
        <v>4</v>
      </c>
      <c r="C127" s="20">
        <f aca="true" t="shared" si="34" ref="C127:H127">SUM(C125:C126)</f>
        <v>0</v>
      </c>
      <c r="D127" s="20">
        <f t="shared" si="34"/>
        <v>0</v>
      </c>
      <c r="E127" s="20">
        <f t="shared" si="34"/>
        <v>39.029759999999996</v>
      </c>
      <c r="F127" s="20">
        <f t="shared" si="34"/>
        <v>65.04959999999998</v>
      </c>
      <c r="G127" s="20">
        <f t="shared" si="34"/>
        <v>103.67999999999999</v>
      </c>
      <c r="H127" s="20">
        <f t="shared" si="34"/>
        <v>207.75935999999996</v>
      </c>
      <c r="J127" s="18" t="s">
        <v>88</v>
      </c>
      <c r="K127" s="34" t="s">
        <v>4</v>
      </c>
      <c r="L127" s="20">
        <f aca="true" t="shared" si="35" ref="L127:Q127">SUM(L125:L126)</f>
        <v>0</v>
      </c>
      <c r="M127" s="20">
        <f t="shared" si="35"/>
        <v>0</v>
      </c>
      <c r="N127" s="20">
        <f t="shared" si="35"/>
        <v>48.78719999999999</v>
      </c>
      <c r="O127" s="20">
        <f t="shared" si="35"/>
        <v>48.78719999999999</v>
      </c>
      <c r="P127" s="20">
        <f t="shared" si="35"/>
        <v>77.76</v>
      </c>
      <c r="Q127" s="20">
        <f t="shared" si="35"/>
        <v>175.3344</v>
      </c>
      <c r="R127" s="20">
        <f t="shared" si="20"/>
        <v>383.09376</v>
      </c>
    </row>
    <row r="128" spans="1:18" ht="12.75" customHeight="1">
      <c r="A128" s="15" t="s">
        <v>18</v>
      </c>
      <c r="B128" s="34"/>
      <c r="C128" s="20"/>
      <c r="D128" s="20"/>
      <c r="E128" s="20"/>
      <c r="F128" s="20"/>
      <c r="G128" s="20"/>
      <c r="H128" s="20"/>
      <c r="J128" s="15" t="s">
        <v>18</v>
      </c>
      <c r="K128" s="34"/>
      <c r="L128" s="20"/>
      <c r="M128" s="20"/>
      <c r="N128" s="20"/>
      <c r="O128" s="20"/>
      <c r="P128" s="20"/>
      <c r="Q128" s="20"/>
      <c r="R128" s="57"/>
    </row>
    <row r="129" spans="1:18" ht="12.75" customHeight="1">
      <c r="A129" s="16" t="s">
        <v>76</v>
      </c>
      <c r="B129" s="34" t="s">
        <v>4</v>
      </c>
      <c r="C129" s="63"/>
      <c r="D129" s="63"/>
      <c r="E129" s="63"/>
      <c r="F129" s="63"/>
      <c r="G129" s="63">
        <f>+$C$90*$C$79*G$36*$B$120</f>
        <v>428.4297520661157</v>
      </c>
      <c r="H129" s="57">
        <f t="shared" si="31"/>
        <v>428.4297520661157</v>
      </c>
      <c r="J129" s="16" t="s">
        <v>76</v>
      </c>
      <c r="K129" s="34" t="s">
        <v>4</v>
      </c>
      <c r="L129" s="63"/>
      <c r="M129" s="63"/>
      <c r="N129" s="63"/>
      <c r="O129" s="63"/>
      <c r="P129" s="63">
        <f>+$C$91*$L$79*P$36*$B$120</f>
        <v>321.3223140495868</v>
      </c>
      <c r="Q129" s="57">
        <f>SUM(L129:P129)</f>
        <v>321.3223140495868</v>
      </c>
      <c r="R129" s="57">
        <f t="shared" si="20"/>
        <v>749.7520661157025</v>
      </c>
    </row>
    <row r="130" spans="1:18" ht="12.75" customHeight="1">
      <c r="A130" s="17" t="s">
        <v>77</v>
      </c>
      <c r="B130" s="34" t="s">
        <v>4</v>
      </c>
      <c r="C130" s="63"/>
      <c r="D130" s="63"/>
      <c r="E130" s="63"/>
      <c r="F130" s="63"/>
      <c r="G130" s="63">
        <f>+$C$90*$E$79*G$36*$B$120</f>
        <v>428.4297520661157</v>
      </c>
      <c r="H130" s="57">
        <f t="shared" si="31"/>
        <v>428.4297520661157</v>
      </c>
      <c r="J130" s="17" t="s">
        <v>77</v>
      </c>
      <c r="K130" s="34" t="s">
        <v>4</v>
      </c>
      <c r="L130" s="63"/>
      <c r="M130" s="63"/>
      <c r="N130" s="63"/>
      <c r="O130" s="63"/>
      <c r="P130" s="63">
        <f>+$C$91*$N$79*P$36*$B$120</f>
        <v>321.3223140495868</v>
      </c>
      <c r="Q130" s="57">
        <f>SUM(L130:P130)</f>
        <v>321.3223140495868</v>
      </c>
      <c r="R130" s="57">
        <f t="shared" si="20"/>
        <v>749.7520661157025</v>
      </c>
    </row>
    <row r="131" spans="1:18" ht="12.75" customHeight="1">
      <c r="A131" s="18" t="s">
        <v>89</v>
      </c>
      <c r="B131" s="34" t="s">
        <v>4</v>
      </c>
      <c r="C131" s="20">
        <f aca="true" t="shared" si="36" ref="C131:H131">SUM(C129:C130)</f>
        <v>0</v>
      </c>
      <c r="D131" s="20">
        <f t="shared" si="36"/>
        <v>0</v>
      </c>
      <c r="E131" s="20">
        <f t="shared" si="36"/>
        <v>0</v>
      </c>
      <c r="F131" s="20">
        <f t="shared" si="36"/>
        <v>0</v>
      </c>
      <c r="G131" s="20">
        <f t="shared" si="36"/>
        <v>856.8595041322315</v>
      </c>
      <c r="H131" s="20">
        <f t="shared" si="36"/>
        <v>856.8595041322315</v>
      </c>
      <c r="J131" s="18" t="s">
        <v>89</v>
      </c>
      <c r="K131" s="34" t="s">
        <v>4</v>
      </c>
      <c r="L131" s="20">
        <f aca="true" t="shared" si="37" ref="L131:Q131">SUM(L129:L130)</f>
        <v>0</v>
      </c>
      <c r="M131" s="20">
        <f t="shared" si="37"/>
        <v>0</v>
      </c>
      <c r="N131" s="20">
        <f t="shared" si="37"/>
        <v>0</v>
      </c>
      <c r="O131" s="20">
        <f t="shared" si="37"/>
        <v>0</v>
      </c>
      <c r="P131" s="20">
        <f t="shared" si="37"/>
        <v>642.6446280991736</v>
      </c>
      <c r="Q131" s="20">
        <f t="shared" si="37"/>
        <v>642.6446280991736</v>
      </c>
      <c r="R131" s="20">
        <f t="shared" si="20"/>
        <v>1499.504132231405</v>
      </c>
    </row>
    <row r="132" spans="1:18" ht="12.75" customHeight="1">
      <c r="A132" s="17" t="s">
        <v>19</v>
      </c>
      <c r="B132" s="34"/>
      <c r="C132" s="20"/>
      <c r="D132" s="20"/>
      <c r="E132" s="20"/>
      <c r="F132" s="20"/>
      <c r="G132" s="20"/>
      <c r="H132" s="20"/>
      <c r="J132" s="17" t="s">
        <v>19</v>
      </c>
      <c r="K132" s="34"/>
      <c r="L132" s="20"/>
      <c r="M132" s="20"/>
      <c r="N132" s="20"/>
      <c r="O132" s="20"/>
      <c r="P132" s="20"/>
      <c r="Q132" s="20"/>
      <c r="R132" s="57"/>
    </row>
    <row r="133" spans="1:18" ht="12.75" customHeight="1">
      <c r="A133" s="16" t="s">
        <v>76</v>
      </c>
      <c r="B133" s="34" t="s">
        <v>4</v>
      </c>
      <c r="C133" s="63"/>
      <c r="D133" s="63"/>
      <c r="E133" s="63">
        <f>+$B$120*$C$90*$C$77*E$33</f>
        <v>0</v>
      </c>
      <c r="F133" s="63">
        <f>+$B$120*$C$90*$C$77*F$33</f>
        <v>0</v>
      </c>
      <c r="G133" s="63">
        <f>+$B$120*$C$90*$C$77*G$33</f>
        <v>0</v>
      </c>
      <c r="H133" s="57">
        <f t="shared" si="31"/>
        <v>0</v>
      </c>
      <c r="J133" s="16" t="s">
        <v>76</v>
      </c>
      <c r="K133" s="34" t="s">
        <v>4</v>
      </c>
      <c r="L133" s="63"/>
      <c r="M133" s="63"/>
      <c r="N133" s="63">
        <f>+$B$120*$C$91*$L$77*N$33</f>
        <v>0</v>
      </c>
      <c r="O133" s="63">
        <f>+$B$120*$C$91*$L$77*O$33</f>
        <v>0</v>
      </c>
      <c r="P133" s="63">
        <f>+$B$120*$C$91*$L$77*P$33</f>
        <v>0</v>
      </c>
      <c r="Q133" s="57">
        <f>SUM(L133:P133)</f>
        <v>0</v>
      </c>
      <c r="R133" s="57">
        <f t="shared" si="20"/>
        <v>0</v>
      </c>
    </row>
    <row r="134" spans="1:18" ht="12.75" customHeight="1">
      <c r="A134" s="17" t="s">
        <v>77</v>
      </c>
      <c r="B134" s="34" t="s">
        <v>4</v>
      </c>
      <c r="C134" s="63"/>
      <c r="D134" s="63"/>
      <c r="E134" s="63">
        <f>+$B$120*$C$90*$E$77*E$33</f>
        <v>9.757439999999999</v>
      </c>
      <c r="F134" s="63">
        <f>+$B$120*$C$90*$E$77*F$33</f>
        <v>16.262399999999996</v>
      </c>
      <c r="G134" s="63">
        <f>+$B$120*$C$90*$E$77*G$33</f>
        <v>25.919999999999998</v>
      </c>
      <c r="H134" s="57">
        <f t="shared" si="31"/>
        <v>51.93983999999999</v>
      </c>
      <c r="J134" s="17" t="s">
        <v>77</v>
      </c>
      <c r="K134" s="34" t="s">
        <v>4</v>
      </c>
      <c r="L134" s="63"/>
      <c r="M134" s="63"/>
      <c r="N134" s="63">
        <f>+$B$120*$C$91*$N$77*N$33</f>
        <v>12.196799999999998</v>
      </c>
      <c r="O134" s="63">
        <f>+$B$120*$C$91*$N$77*O$33</f>
        <v>12.196799999999998</v>
      </c>
      <c r="P134" s="63">
        <f>+$B$120*$C$91*$N$77*P$33</f>
        <v>19.44</v>
      </c>
      <c r="Q134" s="57">
        <f>SUM(L134:P134)</f>
        <v>43.8336</v>
      </c>
      <c r="R134" s="57">
        <f t="shared" si="20"/>
        <v>95.77344</v>
      </c>
    </row>
    <row r="135" spans="1:18" ht="12.75" customHeight="1">
      <c r="A135" s="18" t="s">
        <v>90</v>
      </c>
      <c r="B135" s="34" t="s">
        <v>4</v>
      </c>
      <c r="C135" s="22">
        <f aca="true" t="shared" si="38" ref="C135:H135">SUM(C133:C134)</f>
        <v>0</v>
      </c>
      <c r="D135" s="22">
        <f t="shared" si="38"/>
        <v>0</v>
      </c>
      <c r="E135" s="22">
        <f t="shared" si="38"/>
        <v>9.757439999999999</v>
      </c>
      <c r="F135" s="22">
        <f t="shared" si="38"/>
        <v>16.262399999999996</v>
      </c>
      <c r="G135" s="22">
        <f t="shared" si="38"/>
        <v>25.919999999999998</v>
      </c>
      <c r="H135" s="20">
        <f t="shared" si="38"/>
        <v>51.93983999999999</v>
      </c>
      <c r="J135" s="18" t="s">
        <v>90</v>
      </c>
      <c r="K135" s="34" t="s">
        <v>4</v>
      </c>
      <c r="L135" s="22">
        <f aca="true" t="shared" si="39" ref="L135:Q135">SUM(L133:L134)</f>
        <v>0</v>
      </c>
      <c r="M135" s="22">
        <f t="shared" si="39"/>
        <v>0</v>
      </c>
      <c r="N135" s="22">
        <f t="shared" si="39"/>
        <v>12.196799999999998</v>
      </c>
      <c r="O135" s="22">
        <f t="shared" si="39"/>
        <v>12.196799999999998</v>
      </c>
      <c r="P135" s="22">
        <f t="shared" si="39"/>
        <v>19.44</v>
      </c>
      <c r="Q135" s="20">
        <f t="shared" si="39"/>
        <v>43.8336</v>
      </c>
      <c r="R135" s="20">
        <f t="shared" si="20"/>
        <v>95.77344</v>
      </c>
    </row>
    <row r="136" spans="1:18" ht="12.75" customHeight="1">
      <c r="A136" s="15" t="s">
        <v>20</v>
      </c>
      <c r="B136" s="34"/>
      <c r="C136" s="22"/>
      <c r="D136" s="22"/>
      <c r="E136" s="22"/>
      <c r="F136" s="22"/>
      <c r="G136" s="22"/>
      <c r="H136" s="20"/>
      <c r="J136" s="15" t="s">
        <v>20</v>
      </c>
      <c r="K136" s="34"/>
      <c r="L136" s="22"/>
      <c r="M136" s="22"/>
      <c r="N136" s="22"/>
      <c r="O136" s="22"/>
      <c r="P136" s="22"/>
      <c r="Q136" s="20"/>
      <c r="R136" s="57"/>
    </row>
    <row r="137" spans="1:18" ht="12.75" customHeight="1">
      <c r="A137" s="16" t="s">
        <v>76</v>
      </c>
      <c r="B137" s="34" t="s">
        <v>4</v>
      </c>
      <c r="C137" s="22">
        <f aca="true" t="shared" si="40" ref="C137:H137">+C121+C125+C129+C133</f>
        <v>0</v>
      </c>
      <c r="D137" s="22">
        <f t="shared" si="40"/>
        <v>0</v>
      </c>
      <c r="E137" s="22">
        <f t="shared" si="40"/>
        <v>0</v>
      </c>
      <c r="F137" s="22">
        <f t="shared" si="40"/>
        <v>0</v>
      </c>
      <c r="G137" s="22">
        <f t="shared" si="40"/>
        <v>428.4297520661157</v>
      </c>
      <c r="H137" s="22">
        <f t="shared" si="40"/>
        <v>428.4297520661157</v>
      </c>
      <c r="J137" s="16" t="s">
        <v>76</v>
      </c>
      <c r="K137" s="34" t="s">
        <v>4</v>
      </c>
      <c r="L137" s="22">
        <f aca="true" t="shared" si="41" ref="L137:Q137">+L121+L125+L129+L133</f>
        <v>0</v>
      </c>
      <c r="M137" s="22">
        <f t="shared" si="41"/>
        <v>0</v>
      </c>
      <c r="N137" s="22">
        <f t="shared" si="41"/>
        <v>0</v>
      </c>
      <c r="O137" s="22">
        <f t="shared" si="41"/>
        <v>0</v>
      </c>
      <c r="P137" s="22">
        <f t="shared" si="41"/>
        <v>321.3223140495868</v>
      </c>
      <c r="Q137" s="22">
        <f t="shared" si="41"/>
        <v>321.3223140495868</v>
      </c>
      <c r="R137" s="57">
        <f t="shared" si="20"/>
        <v>749.7520661157025</v>
      </c>
    </row>
    <row r="138" spans="1:18" ht="12.75" customHeight="1">
      <c r="A138" s="17" t="s">
        <v>77</v>
      </c>
      <c r="B138" s="34" t="s">
        <v>4</v>
      </c>
      <c r="C138" s="22">
        <f aca="true" t="shared" si="42" ref="C138:H139">+C122+C126+C130+C134</f>
        <v>3771.8704353496832</v>
      </c>
      <c r="D138" s="22">
        <f t="shared" si="42"/>
        <v>26.941232749490844</v>
      </c>
      <c r="E138" s="22">
        <f t="shared" si="42"/>
        <v>57.274559999999994</v>
      </c>
      <c r="F138" s="22">
        <f t="shared" si="42"/>
        <v>95.45759999999999</v>
      </c>
      <c r="G138" s="22">
        <f t="shared" si="42"/>
        <v>576.5851239669421</v>
      </c>
      <c r="H138" s="22">
        <f t="shared" si="42"/>
        <v>4528.128952066117</v>
      </c>
      <c r="J138" s="17" t="s">
        <v>77</v>
      </c>
      <c r="K138" s="34" t="s">
        <v>4</v>
      </c>
      <c r="L138" s="22">
        <f aca="true" t="shared" si="43" ref="L138:Q139">+L122+L126+L130+L134</f>
        <v>5719.080867438017</v>
      </c>
      <c r="M138" s="22">
        <f t="shared" si="43"/>
        <v>5.784203636363637</v>
      </c>
      <c r="N138" s="22">
        <f t="shared" si="43"/>
        <v>71.5932</v>
      </c>
      <c r="O138" s="22">
        <f t="shared" si="43"/>
        <v>71.5932</v>
      </c>
      <c r="P138" s="22">
        <f t="shared" si="43"/>
        <v>432.4388429752066</v>
      </c>
      <c r="Q138" s="22">
        <f t="shared" si="43"/>
        <v>6300.490314049586</v>
      </c>
      <c r="R138" s="57">
        <f t="shared" si="20"/>
        <v>10828.619266115704</v>
      </c>
    </row>
    <row r="139" spans="1:18" ht="12.75" customHeight="1">
      <c r="A139" s="18" t="s">
        <v>90</v>
      </c>
      <c r="B139" s="34" t="s">
        <v>4</v>
      </c>
      <c r="C139" s="22">
        <f t="shared" si="42"/>
        <v>3771.8704353496832</v>
      </c>
      <c r="D139" s="22">
        <f t="shared" si="42"/>
        <v>26.941232749490844</v>
      </c>
      <c r="E139" s="22">
        <f t="shared" si="42"/>
        <v>57.274559999999994</v>
      </c>
      <c r="F139" s="22">
        <f t="shared" si="42"/>
        <v>95.45759999999999</v>
      </c>
      <c r="G139" s="22">
        <f t="shared" si="42"/>
        <v>1005.0148760330578</v>
      </c>
      <c r="H139" s="22">
        <f t="shared" si="42"/>
        <v>4956.5587041322315</v>
      </c>
      <c r="J139" s="18" t="s">
        <v>90</v>
      </c>
      <c r="K139" s="34" t="s">
        <v>4</v>
      </c>
      <c r="L139" s="22">
        <f t="shared" si="43"/>
        <v>5719.080867438017</v>
      </c>
      <c r="M139" s="22">
        <f t="shared" si="43"/>
        <v>5.784203636363637</v>
      </c>
      <c r="N139" s="22">
        <f t="shared" si="43"/>
        <v>71.5932</v>
      </c>
      <c r="O139" s="22">
        <f t="shared" si="43"/>
        <v>71.5932</v>
      </c>
      <c r="P139" s="22">
        <f t="shared" si="43"/>
        <v>753.7611570247935</v>
      </c>
      <c r="Q139" s="22">
        <f t="shared" si="43"/>
        <v>6621.812628099173</v>
      </c>
      <c r="R139" s="20">
        <f t="shared" si="20"/>
        <v>11578.371332231403</v>
      </c>
    </row>
    <row r="140" spans="1:18" ht="12.75" customHeight="1">
      <c r="A140" s="14" t="s">
        <v>114</v>
      </c>
      <c r="B140" s="12" t="s">
        <v>4</v>
      </c>
      <c r="C140" s="22"/>
      <c r="D140" s="22"/>
      <c r="E140" s="22"/>
      <c r="F140" s="22"/>
      <c r="G140" s="22"/>
      <c r="H140" s="22">
        <f>+H139+H119</f>
        <v>9146.785904132232</v>
      </c>
      <c r="J140" s="14" t="s">
        <v>114</v>
      </c>
      <c r="K140" s="34" t="s">
        <v>4</v>
      </c>
      <c r="L140" s="22"/>
      <c r="M140" s="22"/>
      <c r="N140" s="22"/>
      <c r="O140" s="22"/>
      <c r="P140" s="22"/>
      <c r="Q140" s="22">
        <f>+Q139+Q119</f>
        <v>12267.966228099174</v>
      </c>
      <c r="R140" s="20">
        <f t="shared" si="20"/>
        <v>21414.752132231406</v>
      </c>
    </row>
    <row r="141" spans="1:18" ht="12.75" customHeight="1">
      <c r="A141" s="15" t="s">
        <v>115</v>
      </c>
      <c r="B141" s="12" t="s">
        <v>4</v>
      </c>
      <c r="C141" s="87"/>
      <c r="D141" s="88"/>
      <c r="E141" s="88"/>
      <c r="F141" s="22"/>
      <c r="G141" s="87"/>
      <c r="H141" s="22">
        <f>+C149*B85</f>
        <v>19519.059583970648</v>
      </c>
      <c r="J141" s="15" t="s">
        <v>115</v>
      </c>
      <c r="K141" s="34"/>
      <c r="L141" s="63"/>
      <c r="M141" s="99"/>
      <c r="N141" s="99"/>
      <c r="O141" s="63"/>
      <c r="P141" s="58"/>
      <c r="Q141" s="22">
        <f>+D149*B85</f>
        <v>11845.571348768222</v>
      </c>
      <c r="R141" s="22">
        <f>+Q141+H141</f>
        <v>31364.63093273887</v>
      </c>
    </row>
    <row r="142" spans="1:18" ht="12.75" customHeight="1">
      <c r="A142" s="89"/>
      <c r="B142" s="90"/>
      <c r="C142" s="90"/>
      <c r="D142" s="90"/>
      <c r="E142" s="90"/>
      <c r="F142" s="90"/>
      <c r="G142" s="90"/>
      <c r="H142" s="90"/>
      <c r="J142" s="89"/>
      <c r="K142" s="38"/>
      <c r="L142" s="59"/>
      <c r="M142" s="38"/>
      <c r="N142" s="38"/>
      <c r="O142" s="59"/>
      <c r="Q142" s="59"/>
      <c r="R142" s="59"/>
    </row>
    <row r="143" spans="1:8" ht="29.25" customHeight="1">
      <c r="A143" s="17"/>
      <c r="B143" s="34"/>
      <c r="C143" s="92" t="s">
        <v>117</v>
      </c>
      <c r="D143" s="92" t="s">
        <v>118</v>
      </c>
      <c r="E143" s="15" t="s">
        <v>116</v>
      </c>
      <c r="F143" s="15" t="s">
        <v>39</v>
      </c>
      <c r="G143" s="93"/>
      <c r="H143" s="12" t="s">
        <v>119</v>
      </c>
    </row>
    <row r="144" spans="1:8" ht="12.75" customHeight="1">
      <c r="A144" s="17" t="s">
        <v>36</v>
      </c>
      <c r="B144" s="34" t="s">
        <v>37</v>
      </c>
      <c r="C144" s="91"/>
      <c r="D144" s="91"/>
      <c r="E144" s="91"/>
      <c r="F144" s="91"/>
      <c r="G144" s="85"/>
      <c r="H144" s="16"/>
    </row>
    <row r="145" spans="1:8" ht="12.75" customHeight="1">
      <c r="A145" s="17" t="s">
        <v>42</v>
      </c>
      <c r="B145" s="34" t="s">
        <v>37</v>
      </c>
      <c r="C145" s="91"/>
      <c r="D145" s="91"/>
      <c r="E145" s="91"/>
      <c r="F145" s="91"/>
      <c r="G145" s="85"/>
      <c r="H145" s="16"/>
    </row>
    <row r="146" spans="1:8" ht="12.75" customHeight="1">
      <c r="A146" s="17" t="s">
        <v>41</v>
      </c>
      <c r="B146" s="34" t="s">
        <v>37</v>
      </c>
      <c r="C146" s="63">
        <f>+B88*B89*B90*H25/1000</f>
        <v>28.79977634847472</v>
      </c>
      <c r="D146" s="63">
        <f>+B88*B89*B91*Q25/1000</f>
        <v>17.232558758655863</v>
      </c>
      <c r="E146" s="63">
        <f>+D146+C146</f>
        <v>46.03233510713058</v>
      </c>
      <c r="F146" s="95">
        <f aca="true" t="shared" si="44" ref="F146:F151">+E146/B$86</f>
        <v>0.2</v>
      </c>
      <c r="G146" s="85" t="s">
        <v>179</v>
      </c>
      <c r="H146" s="16"/>
    </row>
    <row r="147" spans="1:8" ht="12.75" customHeight="1">
      <c r="A147" s="17" t="s">
        <v>40</v>
      </c>
      <c r="B147" s="34" t="s">
        <v>37</v>
      </c>
      <c r="C147" s="63">
        <f>+C90*H25/1000</f>
        <v>115.19910539389888</v>
      </c>
      <c r="D147" s="63">
        <f>+C91*Q25/1000</f>
        <v>68.93023503462345</v>
      </c>
      <c r="E147" s="63">
        <f>+D147+C147</f>
        <v>184.1293404285223</v>
      </c>
      <c r="F147" s="95">
        <f t="shared" si="44"/>
        <v>0.8</v>
      </c>
      <c r="G147" s="85" t="s">
        <v>179</v>
      </c>
      <c r="H147" s="16"/>
    </row>
    <row r="148" spans="1:8" ht="12.75" customHeight="1">
      <c r="A148" s="17" t="s">
        <v>157</v>
      </c>
      <c r="B148" s="34" t="s">
        <v>37</v>
      </c>
      <c r="C148" s="63">
        <f>+C90*H62/1000</f>
        <v>66.40145643397226</v>
      </c>
      <c r="D148" s="63">
        <f>+C91*Q62/1000</f>
        <v>39.31630666270289</v>
      </c>
      <c r="E148" s="63">
        <f>+D148+C148</f>
        <v>105.71776309667516</v>
      </c>
      <c r="F148" s="95">
        <f t="shared" si="44"/>
        <v>0.4593195754707612</v>
      </c>
      <c r="G148" s="85" t="s">
        <v>179</v>
      </c>
      <c r="H148" s="16"/>
    </row>
    <row r="149" spans="1:8" ht="12.75" customHeight="1">
      <c r="A149" s="17" t="s">
        <v>32</v>
      </c>
      <c r="B149" s="34" t="s">
        <v>37</v>
      </c>
      <c r="C149" s="63">
        <f>+C147-C148</f>
        <v>48.79764895992662</v>
      </c>
      <c r="D149" s="22">
        <f>+D147-D148</f>
        <v>29.613928371920558</v>
      </c>
      <c r="E149" s="63">
        <f>+D149+C149</f>
        <v>78.41157733184718</v>
      </c>
      <c r="F149" s="95">
        <f t="shared" si="44"/>
        <v>0.340680424529239</v>
      </c>
      <c r="G149" s="85" t="s">
        <v>179</v>
      </c>
      <c r="H149" s="16"/>
    </row>
    <row r="150" spans="1:8" ht="12.75" customHeight="1">
      <c r="A150" s="17" t="s">
        <v>34</v>
      </c>
      <c r="B150" s="34" t="s">
        <v>37</v>
      </c>
      <c r="C150" s="22">
        <f>+C144+C145+C146+C147</f>
        <v>143.99888174237358</v>
      </c>
      <c r="D150" s="63">
        <f>+D144+D145+D146+D147</f>
        <v>86.16279379327932</v>
      </c>
      <c r="E150" s="63">
        <f>+E144+E145+E146+E147</f>
        <v>230.16167553565288</v>
      </c>
      <c r="F150" s="95">
        <f t="shared" si="44"/>
        <v>1</v>
      </c>
      <c r="G150" s="85" t="s">
        <v>179</v>
      </c>
      <c r="H150" s="16"/>
    </row>
    <row r="151" spans="1:8" ht="12.75" customHeight="1">
      <c r="A151" s="17" t="s">
        <v>33</v>
      </c>
      <c r="B151" s="34" t="s">
        <v>37</v>
      </c>
      <c r="C151" s="22">
        <f>+C144+C145+C146+C148</f>
        <v>95.20123278244698</v>
      </c>
      <c r="D151" s="63">
        <f>+D144+D145+D146+D148</f>
        <v>56.548865421358755</v>
      </c>
      <c r="E151" s="63">
        <f>+E144+E145+E146+E148</f>
        <v>151.75009820380575</v>
      </c>
      <c r="F151" s="95">
        <f t="shared" si="44"/>
        <v>0.6593195754707613</v>
      </c>
      <c r="G151" s="85" t="s">
        <v>179</v>
      </c>
      <c r="H151" s="96">
        <f>+(F150-F151)/F150</f>
        <v>0.34068042452923875</v>
      </c>
    </row>
    <row r="152" ht="12.75" customHeight="1"/>
    <row r="153" ht="12.75" customHeight="1">
      <c r="C153" s="1" t="s">
        <v>39</v>
      </c>
    </row>
    <row r="154" spans="3:5" ht="12.75" customHeight="1">
      <c r="C154" s="25" t="s">
        <v>47</v>
      </c>
      <c r="D154" s="141">
        <f>+E150/(B$86*1000)*1000</f>
        <v>1</v>
      </c>
      <c r="E154" s="59" t="s">
        <v>180</v>
      </c>
    </row>
    <row r="155" spans="3:5" ht="12.75">
      <c r="C155" s="25" t="s">
        <v>48</v>
      </c>
      <c r="D155" s="141">
        <f>+E151/(B$86*1000)*1000</f>
        <v>0.6593195754707613</v>
      </c>
      <c r="E155" s="59" t="s">
        <v>180</v>
      </c>
    </row>
    <row r="157" ht="12.75">
      <c r="C157" s="1" t="s">
        <v>92</v>
      </c>
    </row>
    <row r="158" spans="3:5" ht="12.75">
      <c r="C158" s="25" t="s">
        <v>47</v>
      </c>
      <c r="D158" s="51">
        <f>+E147/(B$88*(100%-$B$89))*1000</f>
        <v>19.180139627971073</v>
      </c>
      <c r="E158" s="59" t="s">
        <v>120</v>
      </c>
    </row>
    <row r="159" spans="3:5" ht="12.75">
      <c r="C159" s="25" t="s">
        <v>48</v>
      </c>
      <c r="D159" s="51">
        <f>+E148/(B$88*(100%-$B$89))*1000</f>
        <v>11.012266989236997</v>
      </c>
      <c r="E159" s="59" t="s">
        <v>120</v>
      </c>
    </row>
    <row r="160" ht="12.75">
      <c r="D160" s="66"/>
    </row>
    <row r="161" spans="3:4" ht="12.75">
      <c r="C161" s="1" t="s">
        <v>93</v>
      </c>
      <c r="D161" s="66"/>
    </row>
    <row r="162" spans="3:5" ht="12.75">
      <c r="C162" s="25" t="s">
        <v>47</v>
      </c>
      <c r="D162" s="51">
        <f>+(E147+E146)/B$88*1000</f>
        <v>19.180139627971073</v>
      </c>
      <c r="E162" s="59" t="s">
        <v>120</v>
      </c>
    </row>
    <row r="163" spans="3:5" ht="12.75">
      <c r="C163" s="25" t="s">
        <v>48</v>
      </c>
      <c r="D163" s="51">
        <f>+(E148+E146)/B$88*1000</f>
        <v>12.645841516983813</v>
      </c>
      <c r="E163" s="59" t="s">
        <v>120</v>
      </c>
    </row>
    <row r="165" spans="2:4" ht="12.75">
      <c r="B165" s="25" t="s">
        <v>121</v>
      </c>
      <c r="C165" s="84">
        <f>+R140/E149</f>
        <v>273.10701889851816</v>
      </c>
      <c r="D165" s="25" t="s">
        <v>94</v>
      </c>
    </row>
    <row r="166" spans="2:4" ht="12.75">
      <c r="B166" s="25" t="s">
        <v>122</v>
      </c>
      <c r="C166" s="84">
        <f>+R141/E149</f>
        <v>399.99999999999994</v>
      </c>
      <c r="D166" s="25" t="s">
        <v>95</v>
      </c>
    </row>
    <row r="167" spans="2:4" ht="12.75">
      <c r="B167" s="25" t="s">
        <v>123</v>
      </c>
      <c r="C167" s="84">
        <f>+C165-C166</f>
        <v>-126.89298110148178</v>
      </c>
      <c r="D167" s="25" t="s">
        <v>94</v>
      </c>
    </row>
    <row r="172" spans="1:9" ht="12.75">
      <c r="A172" s="100"/>
      <c r="B172" s="101"/>
      <c r="C172" s="170" t="s">
        <v>7</v>
      </c>
      <c r="D172" s="171"/>
      <c r="E172" s="172"/>
      <c r="F172" s="170" t="s">
        <v>8</v>
      </c>
      <c r="G172" s="171"/>
      <c r="H172" s="172"/>
      <c r="I172" s="165" t="s">
        <v>6</v>
      </c>
    </row>
    <row r="173" spans="1:9" ht="14.25" customHeight="1">
      <c r="A173" s="174"/>
      <c r="B173" s="174"/>
      <c r="C173" s="165" t="s">
        <v>125</v>
      </c>
      <c r="D173" s="165" t="s">
        <v>126</v>
      </c>
      <c r="E173" s="165" t="s">
        <v>91</v>
      </c>
      <c r="F173" s="165" t="s">
        <v>125</v>
      </c>
      <c r="G173" s="165" t="s">
        <v>126</v>
      </c>
      <c r="H173" s="102" t="s">
        <v>90</v>
      </c>
      <c r="I173" s="173"/>
    </row>
    <row r="174" spans="1:9" ht="12.75">
      <c r="A174" s="175"/>
      <c r="B174" s="175"/>
      <c r="C174" s="166"/>
      <c r="D174" s="166"/>
      <c r="E174" s="166"/>
      <c r="F174" s="166"/>
      <c r="G174" s="166"/>
      <c r="H174" s="103" t="s">
        <v>127</v>
      </c>
      <c r="I174" s="166"/>
    </row>
    <row r="175" spans="1:9" ht="14.25" customHeight="1">
      <c r="A175" s="167" t="s">
        <v>133</v>
      </c>
      <c r="B175" s="168"/>
      <c r="C175" s="168"/>
      <c r="D175" s="168"/>
      <c r="E175" s="168"/>
      <c r="F175" s="168"/>
      <c r="G175" s="168"/>
      <c r="H175" s="168"/>
      <c r="I175" s="169"/>
    </row>
    <row r="176" spans="1:9" ht="12.75">
      <c r="A176" s="128" t="s">
        <v>2</v>
      </c>
      <c r="B176" s="129" t="s">
        <v>3</v>
      </c>
      <c r="C176" s="120">
        <f>+H96</f>
        <v>3840</v>
      </c>
      <c r="D176" s="120">
        <f>+H97</f>
        <v>3840</v>
      </c>
      <c r="E176" s="121">
        <f>+D176+C176</f>
        <v>7680</v>
      </c>
      <c r="F176" s="120">
        <f>+Q96</f>
        <v>5760</v>
      </c>
      <c r="G176" s="120">
        <f>+Q97</f>
        <v>5760</v>
      </c>
      <c r="H176" s="121">
        <f>+G176+F176</f>
        <v>11520</v>
      </c>
      <c r="I176" s="121">
        <f>+H176+E176</f>
        <v>19200</v>
      </c>
    </row>
    <row r="177" spans="1:9" ht="12.75">
      <c r="A177" s="128" t="s">
        <v>12</v>
      </c>
      <c r="B177" s="129" t="s">
        <v>3</v>
      </c>
      <c r="C177" s="138">
        <f>+H100</f>
        <v>0</v>
      </c>
      <c r="D177" s="120">
        <f>+H101</f>
        <v>19200</v>
      </c>
      <c r="E177" s="121">
        <f>+D177+C177</f>
        <v>19200</v>
      </c>
      <c r="F177" s="120">
        <f>+Q100</f>
        <v>0</v>
      </c>
      <c r="G177" s="120">
        <f>+Q101</f>
        <v>28800</v>
      </c>
      <c r="H177" s="121">
        <f>+G177+F177</f>
        <v>28800</v>
      </c>
      <c r="I177" s="121">
        <f>+H177+E177</f>
        <v>48000</v>
      </c>
    </row>
    <row r="178" spans="1:9" ht="12.75">
      <c r="A178" s="128" t="s">
        <v>158</v>
      </c>
      <c r="B178" s="129" t="s">
        <v>15</v>
      </c>
      <c r="C178" s="139">
        <f>+H104</f>
        <v>0</v>
      </c>
      <c r="D178" s="120">
        <f>+H105</f>
        <v>1382.4</v>
      </c>
      <c r="E178" s="121">
        <f>+D178+C178</f>
        <v>1382.4</v>
      </c>
      <c r="F178" s="120">
        <f>+Q104</f>
        <v>0</v>
      </c>
      <c r="G178" s="120">
        <f>+Q105</f>
        <v>1152</v>
      </c>
      <c r="H178" s="121">
        <f>+G178+F178</f>
        <v>1152</v>
      </c>
      <c r="I178" s="121">
        <f>+H178+E178</f>
        <v>2534.4</v>
      </c>
    </row>
    <row r="179" spans="1:9" ht="25.5">
      <c r="A179" s="128" t="s">
        <v>159</v>
      </c>
      <c r="B179" s="129" t="s">
        <v>16</v>
      </c>
      <c r="C179" s="120">
        <f>+H108</f>
        <v>2687.9999999999995</v>
      </c>
      <c r="D179" s="120">
        <f>+H109</f>
        <v>2687.9999999999995</v>
      </c>
      <c r="E179" s="121">
        <f>+D179+C179</f>
        <v>5375.999999999999</v>
      </c>
      <c r="F179" s="120">
        <f>+Q108</f>
        <v>2015.9999999999998</v>
      </c>
      <c r="G179" s="120">
        <f>+Q109</f>
        <v>2015.9999999999998</v>
      </c>
      <c r="H179" s="121">
        <f>+G179+F179</f>
        <v>4031.9999999999995</v>
      </c>
      <c r="I179" s="121">
        <f>+H179+E179</f>
        <v>9407.999999999998</v>
      </c>
    </row>
    <row r="180" spans="1:9" ht="14.25" customHeight="1">
      <c r="A180" s="128" t="s">
        <v>134</v>
      </c>
      <c r="B180" s="129" t="s">
        <v>128</v>
      </c>
      <c r="C180" s="120">
        <f>+HC112</f>
        <v>0</v>
      </c>
      <c r="D180" s="120">
        <f>+H113</f>
        <v>345.6</v>
      </c>
      <c r="E180" s="121">
        <f>+D180+C180</f>
        <v>345.6</v>
      </c>
      <c r="F180" s="120">
        <f>+Q112</f>
        <v>0</v>
      </c>
      <c r="G180" s="120">
        <f>+Q113</f>
        <v>288</v>
      </c>
      <c r="H180" s="121">
        <f>+G180+F180</f>
        <v>288</v>
      </c>
      <c r="I180" s="121">
        <f>+H180+E180</f>
        <v>633.6</v>
      </c>
    </row>
    <row r="181" spans="1:9" ht="12.75">
      <c r="A181" s="130" t="s">
        <v>54</v>
      </c>
      <c r="B181" s="131" t="s">
        <v>3</v>
      </c>
      <c r="C181" s="121">
        <f aca="true" t="shared" si="45" ref="C181:I181">SUM(C176:C180)</f>
        <v>6528</v>
      </c>
      <c r="D181" s="121">
        <f t="shared" si="45"/>
        <v>27456</v>
      </c>
      <c r="E181" s="121">
        <f t="shared" si="45"/>
        <v>33984</v>
      </c>
      <c r="F181" s="121">
        <f t="shared" si="45"/>
        <v>7776</v>
      </c>
      <c r="G181" s="121">
        <f t="shared" si="45"/>
        <v>38016</v>
      </c>
      <c r="H181" s="121">
        <f t="shared" si="45"/>
        <v>45792</v>
      </c>
      <c r="I181" s="158">
        <f t="shared" si="45"/>
        <v>79776</v>
      </c>
    </row>
    <row r="182" spans="1:9" ht="12.75">
      <c r="A182" s="128" t="s">
        <v>129</v>
      </c>
      <c r="B182" s="129" t="s">
        <v>4</v>
      </c>
      <c r="C182" s="123"/>
      <c r="D182" s="123"/>
      <c r="E182" s="121">
        <f>0.1233*E181</f>
        <v>4190.2272</v>
      </c>
      <c r="F182" s="121"/>
      <c r="G182" s="121"/>
      <c r="H182" s="121">
        <f>0.1233*H181</f>
        <v>5646.153600000001</v>
      </c>
      <c r="I182" s="121">
        <f>0.1233*I181</f>
        <v>9836.3808</v>
      </c>
    </row>
    <row r="183" spans="1:9" ht="14.25" customHeight="1">
      <c r="A183" s="132" t="s">
        <v>130</v>
      </c>
      <c r="B183" s="127"/>
      <c r="C183" s="127"/>
      <c r="D183" s="127"/>
      <c r="E183" s="127"/>
      <c r="F183" s="127"/>
      <c r="G183" s="127"/>
      <c r="H183" s="127"/>
      <c r="I183" s="127"/>
    </row>
    <row r="184" spans="1:9" ht="25.5">
      <c r="A184" s="130" t="s">
        <v>135</v>
      </c>
      <c r="B184" s="133"/>
      <c r="C184" s="123"/>
      <c r="D184" s="123"/>
      <c r="E184" s="123"/>
      <c r="F184" s="123"/>
      <c r="G184" s="123"/>
      <c r="H184" s="123"/>
      <c r="I184" s="123"/>
    </row>
    <row r="185" spans="1:9" ht="12.75">
      <c r="A185" s="128" t="s">
        <v>131</v>
      </c>
      <c r="B185" s="129" t="s">
        <v>4</v>
      </c>
      <c r="C185" s="120">
        <f>+H121</f>
        <v>0</v>
      </c>
      <c r="D185" s="120">
        <f>+H122</f>
        <v>3840.0000000000005</v>
      </c>
      <c r="E185" s="120">
        <f>+D185+C185</f>
        <v>3840.0000000000005</v>
      </c>
      <c r="F185" s="120">
        <f>+Q121</f>
        <v>0</v>
      </c>
      <c r="G185" s="120">
        <f>+Q122</f>
        <v>5760</v>
      </c>
      <c r="H185" s="121">
        <f>+G185+F185</f>
        <v>5760</v>
      </c>
      <c r="I185" s="121">
        <f>+H185+E185</f>
        <v>9600</v>
      </c>
    </row>
    <row r="186" spans="1:9" ht="12.75">
      <c r="A186" s="128" t="s">
        <v>158</v>
      </c>
      <c r="B186" s="129" t="s">
        <v>4</v>
      </c>
      <c r="C186" s="120">
        <f>+H125</f>
        <v>0</v>
      </c>
      <c r="D186" s="120">
        <f>+H126</f>
        <v>207.75935999999996</v>
      </c>
      <c r="E186" s="120">
        <f>+D186+C186</f>
        <v>207.75935999999996</v>
      </c>
      <c r="F186" s="120">
        <f>+Q125</f>
        <v>0</v>
      </c>
      <c r="G186" s="120">
        <f>+Q126</f>
        <v>175.3344</v>
      </c>
      <c r="H186" s="121">
        <f>+G186+F186</f>
        <v>175.3344</v>
      </c>
      <c r="I186" s="121">
        <f aca="true" t="shared" si="46" ref="I186:I191">+H186+E186</f>
        <v>383.09376</v>
      </c>
    </row>
    <row r="187" spans="1:9" ht="12.75">
      <c r="A187" s="128" t="s">
        <v>160</v>
      </c>
      <c r="B187" s="129" t="s">
        <v>4</v>
      </c>
      <c r="C187" s="120">
        <f>+H129</f>
        <v>428.4297520661157</v>
      </c>
      <c r="D187" s="120">
        <f>+H130</f>
        <v>428.4297520661157</v>
      </c>
      <c r="E187" s="120">
        <f>+D187+C187</f>
        <v>856.8595041322315</v>
      </c>
      <c r="F187" s="120">
        <f>+Q129</f>
        <v>321.3223140495868</v>
      </c>
      <c r="G187" s="120">
        <f>+Q130</f>
        <v>321.3223140495868</v>
      </c>
      <c r="H187" s="121">
        <f>+G187+F187</f>
        <v>642.6446280991736</v>
      </c>
      <c r="I187" s="121">
        <f t="shared" si="46"/>
        <v>1499.504132231405</v>
      </c>
    </row>
    <row r="188" spans="1:9" ht="12.75">
      <c r="A188" s="128" t="s">
        <v>136</v>
      </c>
      <c r="B188" s="129" t="s">
        <v>4</v>
      </c>
      <c r="C188" s="120">
        <f>+H133</f>
        <v>0</v>
      </c>
      <c r="D188" s="120">
        <f>+H134</f>
        <v>51.93983999999999</v>
      </c>
      <c r="E188" s="120">
        <f>+D188+C188</f>
        <v>51.93983999999999</v>
      </c>
      <c r="F188" s="120">
        <f>+Q133</f>
        <v>0</v>
      </c>
      <c r="G188" s="120">
        <f>+Q134</f>
        <v>43.8336</v>
      </c>
      <c r="H188" s="121">
        <f>+G188+F188</f>
        <v>43.8336</v>
      </c>
      <c r="I188" s="121">
        <f t="shared" si="46"/>
        <v>95.77344</v>
      </c>
    </row>
    <row r="189" spans="1:9" ht="12.75">
      <c r="A189" s="130" t="s">
        <v>20</v>
      </c>
      <c r="B189" s="131" t="s">
        <v>4</v>
      </c>
      <c r="C189" s="121">
        <f aca="true" t="shared" si="47" ref="C189:H189">SUM(C185:C188)</f>
        <v>428.4297520661157</v>
      </c>
      <c r="D189" s="121">
        <f t="shared" si="47"/>
        <v>4528.128952066117</v>
      </c>
      <c r="E189" s="121">
        <f t="shared" si="47"/>
        <v>4956.5587041322315</v>
      </c>
      <c r="F189" s="121">
        <f t="shared" si="47"/>
        <v>321.3223140495868</v>
      </c>
      <c r="G189" s="121">
        <f t="shared" si="47"/>
        <v>6300.490314049586</v>
      </c>
      <c r="H189" s="121">
        <f t="shared" si="47"/>
        <v>6621.812628099173</v>
      </c>
      <c r="I189" s="158">
        <f t="shared" si="46"/>
        <v>11578.371332231403</v>
      </c>
    </row>
    <row r="190" spans="1:9" s="1" customFormat="1" ht="12.75">
      <c r="A190" s="130" t="s">
        <v>132</v>
      </c>
      <c r="B190" s="131" t="s">
        <v>4</v>
      </c>
      <c r="C190" s="124"/>
      <c r="D190" s="124"/>
      <c r="E190" s="121">
        <f>+H140</f>
        <v>9146.785904132232</v>
      </c>
      <c r="F190" s="124"/>
      <c r="G190" s="124"/>
      <c r="H190" s="121">
        <f>+Q140</f>
        <v>12267.966228099174</v>
      </c>
      <c r="I190" s="121">
        <f t="shared" si="46"/>
        <v>21414.752132231406</v>
      </c>
    </row>
    <row r="191" spans="1:9" ht="12.75">
      <c r="A191" s="134" t="s">
        <v>22</v>
      </c>
      <c r="B191" s="135" t="s">
        <v>4</v>
      </c>
      <c r="C191" s="123"/>
      <c r="D191" s="123"/>
      <c r="E191" s="125">
        <f>+H141</f>
        <v>19519.059583970648</v>
      </c>
      <c r="F191" s="123"/>
      <c r="G191" s="123"/>
      <c r="H191" s="121">
        <f>+Q141</f>
        <v>11845.571348768222</v>
      </c>
      <c r="I191" s="158">
        <f t="shared" si="46"/>
        <v>31364.63093273887</v>
      </c>
    </row>
    <row r="199" spans="2:9" ht="12.75">
      <c r="B199" s="25">
        <f>12000*0.2</f>
        <v>2400</v>
      </c>
      <c r="C199" s="25">
        <f aca="true" t="shared" si="48" ref="C199:C204">0.4*B199</f>
        <v>960</v>
      </c>
      <c r="D199" s="66">
        <v>30</v>
      </c>
      <c r="E199" s="84">
        <f>+D199*C199/1000</f>
        <v>28.8</v>
      </c>
      <c r="F199" s="25">
        <f>+B199*0.6</f>
        <v>1440</v>
      </c>
      <c r="G199" s="25">
        <v>12</v>
      </c>
      <c r="H199" s="51">
        <f>+G199*F199/1000</f>
        <v>17.28</v>
      </c>
      <c r="I199" s="143">
        <f>+E199+H199</f>
        <v>46.08</v>
      </c>
    </row>
    <row r="200" spans="2:9" ht="12.75">
      <c r="B200" s="25">
        <f>12000*0.8</f>
        <v>9600</v>
      </c>
      <c r="C200" s="25">
        <f t="shared" si="48"/>
        <v>3840</v>
      </c>
      <c r="D200" s="66">
        <v>30</v>
      </c>
      <c r="E200" s="84">
        <f>+D200*C200/1000</f>
        <v>115.2</v>
      </c>
      <c r="F200" s="25">
        <f>+B200*0.6</f>
        <v>5760</v>
      </c>
      <c r="G200" s="25">
        <v>12</v>
      </c>
      <c r="H200" s="51">
        <f>+G200*F200/1000</f>
        <v>69.12</v>
      </c>
      <c r="I200" s="143">
        <f>+E200+H200</f>
        <v>184.32</v>
      </c>
    </row>
    <row r="201" spans="2:9" ht="12.75">
      <c r="B201" s="25">
        <f>12000*0.8</f>
        <v>9600</v>
      </c>
      <c r="C201" s="25">
        <f t="shared" si="48"/>
        <v>3840</v>
      </c>
      <c r="D201" s="66">
        <v>17.3</v>
      </c>
      <c r="E201" s="84">
        <f>+D201*C201/1000</f>
        <v>66.432</v>
      </c>
      <c r="F201" s="25">
        <f>+B201*0.6</f>
        <v>5760</v>
      </c>
      <c r="G201" s="25">
        <v>6.8</v>
      </c>
      <c r="H201" s="51">
        <f>+G201*F201/1000</f>
        <v>39.168</v>
      </c>
      <c r="I201" s="143">
        <f>+E201+H201</f>
        <v>105.6</v>
      </c>
    </row>
    <row r="202" spans="2:9" ht="12.75">
      <c r="B202" s="25">
        <f>12000*0.8</f>
        <v>9600</v>
      </c>
      <c r="C202" s="25">
        <f t="shared" si="48"/>
        <v>3840</v>
      </c>
      <c r="D202" s="51">
        <f>+D200-D201</f>
        <v>12.7</v>
      </c>
      <c r="E202" s="84">
        <f>+D202*C202/1000</f>
        <v>48.768</v>
      </c>
      <c r="F202" s="25">
        <f>+B202*0.6</f>
        <v>5760</v>
      </c>
      <c r="G202" s="25">
        <f>+G200-G201</f>
        <v>5.2</v>
      </c>
      <c r="H202" s="51">
        <f>+G202*F202/1000</f>
        <v>29.952</v>
      </c>
      <c r="I202" s="143">
        <f>+E202+H202</f>
        <v>78.72</v>
      </c>
    </row>
    <row r="203" spans="2:9" ht="12.75">
      <c r="B203" s="25">
        <f>12000*0.8</f>
        <v>9600</v>
      </c>
      <c r="C203" s="25">
        <f t="shared" si="48"/>
        <v>3840</v>
      </c>
      <c r="D203" s="66">
        <v>34</v>
      </c>
      <c r="E203" s="84">
        <f>+D203*C203/1000</f>
        <v>130.56</v>
      </c>
      <c r="F203" s="25">
        <f>+B203*0.6</f>
        <v>5760</v>
      </c>
      <c r="G203" s="25">
        <v>16</v>
      </c>
      <c r="H203" s="51">
        <f>+G203*F203/1000</f>
        <v>92.16</v>
      </c>
      <c r="I203" s="143">
        <f>+E203+H203</f>
        <v>222.72</v>
      </c>
    </row>
    <row r="204" spans="3:5" ht="12.75">
      <c r="C204" s="25">
        <f t="shared" si="48"/>
        <v>0</v>
      </c>
      <c r="E204" s="143">
        <f>+E200+E199</f>
        <v>144</v>
      </c>
    </row>
  </sheetData>
  <mergeCells count="11">
    <mergeCell ref="F173:F174"/>
    <mergeCell ref="G173:G174"/>
    <mergeCell ref="A175:I175"/>
    <mergeCell ref="C172:E172"/>
    <mergeCell ref="F172:H172"/>
    <mergeCell ref="I172:I174"/>
    <mergeCell ref="A173:A174"/>
    <mergeCell ref="B173:B174"/>
    <mergeCell ref="C173:C174"/>
    <mergeCell ref="D173:D174"/>
    <mergeCell ref="E173:E174"/>
  </mergeCells>
  <printOptions/>
  <pageMargins left="0.7874015748031497" right="0.7874015748031497" top="0.984251968503937" bottom="0.984251968503937" header="0.5118110236220472" footer="0.5118110236220472"/>
  <pageSetup fitToHeight="2" fitToWidth="0" orientation="landscape" paperSize="9" scale="59" r:id="rId2"/>
  <headerFooter alignWithMargins="0">
    <oddHeader>&amp;L&amp;P/&amp;N&amp;R&amp;F/&amp;A</oddHeader>
  </headerFooter>
  <rowBreaks count="4" manualBreakCount="4">
    <brk id="38" max="17" man="1"/>
    <brk id="63" max="17" man="1"/>
    <brk id="92" max="17" man="1"/>
    <brk id="142" max="17" man="1"/>
  </rowBreaks>
  <colBreaks count="1" manualBreakCount="1">
    <brk id="9" max="19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1"/>
  <sheetViews>
    <sheetView workbookViewId="0" topLeftCell="B133">
      <selection activeCell="I191" sqref="I191"/>
    </sheetView>
  </sheetViews>
  <sheetFormatPr defaultColWidth="11.421875" defaultRowHeight="12.75"/>
  <cols>
    <col min="1" max="1" width="52.00390625" style="25" customWidth="1"/>
    <col min="2" max="2" width="18.7109375" style="25" customWidth="1"/>
    <col min="3" max="3" width="14.28125" style="25" customWidth="1"/>
    <col min="4" max="8" width="15.421875" style="25" customWidth="1"/>
    <col min="9" max="9" width="12.57421875" style="25" customWidth="1"/>
    <col min="10" max="10" width="51.57421875" style="25" customWidth="1"/>
    <col min="11" max="11" width="17.7109375" style="25" customWidth="1"/>
    <col min="12" max="12" width="15.421875" style="25" customWidth="1"/>
    <col min="13" max="13" width="13.57421875" style="25" customWidth="1"/>
    <col min="14" max="14" width="14.140625" style="25" customWidth="1"/>
    <col min="15" max="15" width="15.421875" style="25" customWidth="1"/>
    <col min="16" max="16" width="12.8515625" style="25" customWidth="1"/>
    <col min="17" max="18" width="15.421875" style="25" customWidth="1"/>
    <col min="19" max="33" width="11.421875" style="25" customWidth="1"/>
    <col min="34" max="16384" width="15.421875" style="25" customWidth="1"/>
  </cols>
  <sheetData>
    <row r="1" spans="1:11" ht="12.75">
      <c r="A1" s="1" t="s">
        <v>182</v>
      </c>
      <c r="B1" s="25" t="s">
        <v>7</v>
      </c>
      <c r="J1" s="1" t="s">
        <v>182</v>
      </c>
      <c r="K1" s="25" t="s">
        <v>8</v>
      </c>
    </row>
    <row r="3" ht="12.75">
      <c r="K3" s="26"/>
    </row>
    <row r="4" spans="1:16" s="1" customFormat="1" ht="12.75">
      <c r="A4" s="14" t="s">
        <v>57</v>
      </c>
      <c r="B4" s="14"/>
      <c r="C4" s="24" t="s">
        <v>51</v>
      </c>
      <c r="D4" s="24" t="s">
        <v>58</v>
      </c>
      <c r="E4" s="24" t="s">
        <v>59</v>
      </c>
      <c r="F4" s="24" t="s">
        <v>108</v>
      </c>
      <c r="G4" s="24" t="s">
        <v>52</v>
      </c>
      <c r="J4" s="14" t="s">
        <v>57</v>
      </c>
      <c r="K4" s="14"/>
      <c r="L4" s="24" t="s">
        <v>51</v>
      </c>
      <c r="M4" s="24" t="s">
        <v>58</v>
      </c>
      <c r="N4" s="24" t="s">
        <v>59</v>
      </c>
      <c r="O4" s="24" t="s">
        <v>108</v>
      </c>
      <c r="P4" s="24" t="s">
        <v>52</v>
      </c>
    </row>
    <row r="5" spans="1:16" ht="12.75">
      <c r="A5" s="28" t="s">
        <v>99</v>
      </c>
      <c r="B5" s="16"/>
      <c r="C5" s="113">
        <f>+'PMC 01'!C5</f>
        <v>100</v>
      </c>
      <c r="D5" s="113">
        <f>+'PMC 01'!D5</f>
        <v>3500</v>
      </c>
      <c r="E5" s="113">
        <f>+'PMC 01'!E5</f>
        <v>7000</v>
      </c>
      <c r="F5" s="113">
        <f>+'PMC 01'!F5</f>
        <v>55000</v>
      </c>
      <c r="G5" s="16" t="s">
        <v>98</v>
      </c>
      <c r="J5" s="28" t="s">
        <v>99</v>
      </c>
      <c r="K5" s="28"/>
      <c r="L5" s="113">
        <f>+'PMC 01'!L5</f>
        <v>97.5</v>
      </c>
      <c r="M5" s="113">
        <f>+'PMC 01'!M5</f>
        <v>3000</v>
      </c>
      <c r="N5" s="113">
        <f>+'PMC 01'!N5</f>
        <v>6500</v>
      </c>
      <c r="O5" s="113">
        <f>+'PMC 01'!O5</f>
        <v>43000</v>
      </c>
      <c r="P5" s="16" t="s">
        <v>98</v>
      </c>
    </row>
    <row r="6" spans="1:16" ht="12.75">
      <c r="A6" s="28" t="s">
        <v>100</v>
      </c>
      <c r="B6" s="28"/>
      <c r="C6" s="28"/>
      <c r="D6" s="28"/>
      <c r="E6" s="28"/>
      <c r="F6" s="28"/>
      <c r="G6" s="28"/>
      <c r="J6" s="28" t="s">
        <v>100</v>
      </c>
      <c r="K6" s="28"/>
      <c r="L6" s="28"/>
      <c r="M6" s="28"/>
      <c r="N6" s="28"/>
      <c r="O6" s="28"/>
      <c r="P6" s="28"/>
    </row>
    <row r="7" spans="1:16" ht="12.75">
      <c r="A7" s="16" t="s">
        <v>49</v>
      </c>
      <c r="B7" s="16" t="s">
        <v>50</v>
      </c>
      <c r="C7" s="30">
        <f>1.87*0.000001*C5^0.873</f>
        <v>0.00010419373505027089</v>
      </c>
      <c r="D7" s="30">
        <f>1.87*0.000001*D5^0.873</f>
        <v>0.0023217369291838597</v>
      </c>
      <c r="E7" s="30">
        <f>1.87*0.000001*E5^0.873</f>
        <v>0.004252185434109273</v>
      </c>
      <c r="F7" s="30">
        <f>1.87*0.000001*F5^0.873</f>
        <v>0.02571450889748089</v>
      </c>
      <c r="G7" s="114">
        <f>+'PMC 01'!G7</f>
        <v>0.11</v>
      </c>
      <c r="J7" s="16" t="s">
        <v>49</v>
      </c>
      <c r="K7" s="16" t="s">
        <v>50</v>
      </c>
      <c r="L7" s="30">
        <f>1.87*0.000001*L5^0.873</f>
        <v>0.0001019160624009378</v>
      </c>
      <c r="M7" s="30">
        <f>1.87*0.000001*M5^0.873</f>
        <v>0.0020294037657179053</v>
      </c>
      <c r="N7" s="30">
        <f>1.87*0.000001*N5^0.873</f>
        <v>0.003985795081341449</v>
      </c>
      <c r="O7" s="30">
        <f>1.87*0.000001*O5^0.873</f>
        <v>0.020742426901068457</v>
      </c>
      <c r="P7" s="114">
        <f>+'PMC 01'!P7</f>
        <v>0.11</v>
      </c>
    </row>
    <row r="8" spans="1:16" ht="12.75">
      <c r="A8" s="16" t="s">
        <v>101</v>
      </c>
      <c r="B8" s="16" t="s">
        <v>50</v>
      </c>
      <c r="C8" s="30">
        <f>6.41*0.000001*C5^0.797</f>
        <v>0.0002516854035911436</v>
      </c>
      <c r="D8" s="30">
        <f>6.41*0.000001*D5^0.797</f>
        <v>0.004280359644661665</v>
      </c>
      <c r="E8" s="30">
        <f>6.41*0.000001*E5^0.797</f>
        <v>0.007437057981867841</v>
      </c>
      <c r="F8" s="30">
        <f>6.41*0.000001*F5^0.797</f>
        <v>0.038452722432423245</v>
      </c>
      <c r="G8" s="114">
        <f>+'PMC 01'!G8</f>
        <v>0.15</v>
      </c>
      <c r="J8" s="16" t="s">
        <v>101</v>
      </c>
      <c r="K8" s="16" t="s">
        <v>50</v>
      </c>
      <c r="L8" s="30">
        <f>6.41*0.000001*L5^0.797</f>
        <v>0.00024665771743465005</v>
      </c>
      <c r="M8" s="30">
        <f>6.41*0.000001*M5^0.797</f>
        <v>0.0037855036522766294</v>
      </c>
      <c r="N8" s="30">
        <f>6.41*0.000001*N5^0.797</f>
        <v>0.007010515837513619</v>
      </c>
      <c r="O8" s="30">
        <f>6.41*0.000001*O5^0.797</f>
        <v>0.03160329671284086</v>
      </c>
      <c r="P8" s="114">
        <f>+'PMC 01'!P8</f>
        <v>0.15</v>
      </c>
    </row>
    <row r="9" spans="1:16" ht="12.75">
      <c r="A9" s="16" t="s">
        <v>102</v>
      </c>
      <c r="B9" s="16" t="s">
        <v>50</v>
      </c>
      <c r="C9" s="30">
        <f>1.9*0.00001*C5^0.824</f>
        <v>0.0008447994081913066</v>
      </c>
      <c r="D9" s="30">
        <f>1.9*0.00001*D5^0.824</f>
        <v>0.015814871572412525</v>
      </c>
      <c r="E9" s="30">
        <f>1.9*0.00001*E5^0.824</f>
        <v>0.02799718621732595</v>
      </c>
      <c r="F9" s="30">
        <f>1.9*0.00001*F5^0.824</f>
        <v>0.15304264295707065</v>
      </c>
      <c r="G9" s="114">
        <f>+'PMC 01'!G9</f>
        <v>0.62</v>
      </c>
      <c r="J9" s="16" t="s">
        <v>102</v>
      </c>
      <c r="K9" s="16" t="s">
        <v>50</v>
      </c>
      <c r="L9" s="30">
        <f>1.9*0.00001*L5^0.824</f>
        <v>0.000827357873682288</v>
      </c>
      <c r="M9" s="30">
        <f>1.9*0.00001*M5^0.824</f>
        <v>0.013928409119590366</v>
      </c>
      <c r="N9" s="30">
        <f>1.9*0.00001*N5^0.824</f>
        <v>0.026338692186075638</v>
      </c>
      <c r="O9" s="30">
        <f>1.9*0.00001*O5^0.824</f>
        <v>0.1249486615572774</v>
      </c>
      <c r="P9" s="114">
        <f>+'PMC 01'!P9</f>
        <v>0.62</v>
      </c>
    </row>
    <row r="10" spans="1:16" ht="12.75">
      <c r="A10" s="16" t="s">
        <v>103</v>
      </c>
      <c r="B10" s="16" t="s">
        <v>50</v>
      </c>
      <c r="C10" s="30">
        <f>3.05*0.000001*C5^0.885</f>
        <v>0.00017959731488345477</v>
      </c>
      <c r="D10" s="30">
        <f>3.05*0.000001*D5^0.885</f>
        <v>0.004176380493003961</v>
      </c>
      <c r="E10" s="30">
        <f>3.05*0.000001*E5^0.885</f>
        <v>0.0077127917402303355</v>
      </c>
      <c r="F10" s="30">
        <f>3.05*0.000001*F5^0.885</f>
        <v>0.047810228524175345</v>
      </c>
      <c r="G10" s="114">
        <f>+'PMC 01'!G10</f>
        <v>0.22</v>
      </c>
      <c r="J10" s="16" t="s">
        <v>103</v>
      </c>
      <c r="K10" s="16" t="s">
        <v>50</v>
      </c>
      <c r="L10" s="30">
        <f>3.05*0.000001*L5^0.885</f>
        <v>0.00017561795846814918</v>
      </c>
      <c r="M10" s="30">
        <f>3.05*0.000001*M5^0.885</f>
        <v>0.003643780016938916</v>
      </c>
      <c r="N10" s="30">
        <f>3.05*0.000001*N5^0.885</f>
        <v>0.007223175383976949</v>
      </c>
      <c r="O10" s="30">
        <f>3.05*0.000001*O5^0.885</f>
        <v>0.038452043286271595</v>
      </c>
      <c r="P10" s="114">
        <f>+'PMC 01'!P10</f>
        <v>0.22</v>
      </c>
    </row>
    <row r="11" spans="1:16" ht="12.75">
      <c r="A11" s="16" t="s">
        <v>104</v>
      </c>
      <c r="B11" s="16" t="s">
        <v>50</v>
      </c>
      <c r="C11" s="30">
        <f>+(C9+C8)/2</f>
        <v>0.0005482424058912251</v>
      </c>
      <c r="D11" s="30">
        <f>+(D9+D8)/2</f>
        <v>0.010047615608537095</v>
      </c>
      <c r="E11" s="30">
        <f>+(E9+E8)/2</f>
        <v>0.017717122099596895</v>
      </c>
      <c r="F11" s="30">
        <f>+(F9+F8)/2</f>
        <v>0.09574768269474696</v>
      </c>
      <c r="G11" s="32">
        <f>+(G9+G8)/2</f>
        <v>0.385</v>
      </c>
      <c r="J11" s="16" t="s">
        <v>104</v>
      </c>
      <c r="K11" s="16" t="s">
        <v>50</v>
      </c>
      <c r="L11" s="30">
        <f>+(L9+L8)/2</f>
        <v>0.0005370077955584691</v>
      </c>
      <c r="M11" s="30">
        <f>+(M9+M8)/2</f>
        <v>0.008856956385933498</v>
      </c>
      <c r="N11" s="30">
        <f>+(N9+N8)/2</f>
        <v>0.01667460401179463</v>
      </c>
      <c r="O11" s="30">
        <f>+(O9+O8)/2</f>
        <v>0.07827597913505913</v>
      </c>
      <c r="P11" s="32">
        <f>+(P9+P8)/2</f>
        <v>0.385</v>
      </c>
    </row>
    <row r="12" spans="1:16" ht="12.75">
      <c r="A12" s="67" t="s">
        <v>155</v>
      </c>
      <c r="B12" s="16">
        <v>8600</v>
      </c>
      <c r="C12" s="33" t="s">
        <v>63</v>
      </c>
      <c r="D12" s="16"/>
      <c r="E12" s="16"/>
      <c r="F12" s="16"/>
      <c r="G12" s="34"/>
      <c r="J12" s="67" t="s">
        <v>155</v>
      </c>
      <c r="K12" s="16">
        <v>8600</v>
      </c>
      <c r="L12" s="33" t="s">
        <v>63</v>
      </c>
      <c r="M12" s="16"/>
      <c r="N12" s="16"/>
      <c r="O12" s="16"/>
      <c r="P12" s="34"/>
    </row>
    <row r="13" spans="1:16" ht="12.75">
      <c r="A13" s="16" t="s">
        <v>49</v>
      </c>
      <c r="B13" s="16" t="s">
        <v>61</v>
      </c>
      <c r="C13" s="35">
        <f aca="true" t="shared" si="0" ref="C13:G16">+C7*$B$12</f>
        <v>0.8960661214323297</v>
      </c>
      <c r="D13" s="35">
        <f t="shared" si="0"/>
        <v>19.966937590981193</v>
      </c>
      <c r="E13" s="35">
        <f t="shared" si="0"/>
        <v>36.56879473333975</v>
      </c>
      <c r="F13" s="35">
        <f t="shared" si="0"/>
        <v>221.14477651833565</v>
      </c>
      <c r="G13" s="35">
        <f t="shared" si="0"/>
        <v>946</v>
      </c>
      <c r="J13" s="16" t="s">
        <v>49</v>
      </c>
      <c r="K13" s="16" t="s">
        <v>61</v>
      </c>
      <c r="L13" s="35">
        <f aca="true" t="shared" si="1" ref="L13:P16">+L7*$B$12</f>
        <v>0.8764781366480651</v>
      </c>
      <c r="M13" s="35">
        <f t="shared" si="1"/>
        <v>17.452872385173986</v>
      </c>
      <c r="N13" s="35">
        <f t="shared" si="1"/>
        <v>34.277837699536455</v>
      </c>
      <c r="O13" s="35">
        <f t="shared" si="1"/>
        <v>178.38487134918873</v>
      </c>
      <c r="P13" s="35">
        <f t="shared" si="1"/>
        <v>946</v>
      </c>
    </row>
    <row r="14" spans="1:16" ht="12.75">
      <c r="A14" s="16" t="s">
        <v>101</v>
      </c>
      <c r="B14" s="16" t="s">
        <v>61</v>
      </c>
      <c r="C14" s="35">
        <f t="shared" si="0"/>
        <v>2.164494470883835</v>
      </c>
      <c r="D14" s="35">
        <f t="shared" si="0"/>
        <v>36.81109294409032</v>
      </c>
      <c r="E14" s="35">
        <f t="shared" si="0"/>
        <v>63.95869864406343</v>
      </c>
      <c r="F14" s="35">
        <f t="shared" si="0"/>
        <v>330.6934129188399</v>
      </c>
      <c r="G14" s="35">
        <f t="shared" si="0"/>
        <v>1290</v>
      </c>
      <c r="J14" s="16" t="s">
        <v>101</v>
      </c>
      <c r="K14" s="16" t="s">
        <v>61</v>
      </c>
      <c r="L14" s="35">
        <f t="shared" si="1"/>
        <v>2.1212563699379903</v>
      </c>
      <c r="M14" s="35">
        <f t="shared" si="1"/>
        <v>32.55533140957901</v>
      </c>
      <c r="N14" s="35">
        <f t="shared" si="1"/>
        <v>60.29043620261713</v>
      </c>
      <c r="O14" s="35">
        <f t="shared" si="1"/>
        <v>271.7883517304314</v>
      </c>
      <c r="P14" s="35">
        <f t="shared" si="1"/>
        <v>1290</v>
      </c>
    </row>
    <row r="15" spans="1:16" ht="12.75">
      <c r="A15" s="16" t="s">
        <v>102</v>
      </c>
      <c r="B15" s="16" t="s">
        <v>61</v>
      </c>
      <c r="C15" s="35">
        <f t="shared" si="0"/>
        <v>7.265274910445237</v>
      </c>
      <c r="D15" s="35">
        <f t="shared" si="0"/>
        <v>136.0078955227477</v>
      </c>
      <c r="E15" s="35">
        <f t="shared" si="0"/>
        <v>240.77580146900317</v>
      </c>
      <c r="F15" s="35">
        <f t="shared" si="0"/>
        <v>1316.1667294308077</v>
      </c>
      <c r="G15" s="35">
        <f t="shared" si="0"/>
        <v>5332</v>
      </c>
      <c r="J15" s="16" t="s">
        <v>102</v>
      </c>
      <c r="K15" s="16" t="s">
        <v>61</v>
      </c>
      <c r="L15" s="35">
        <f t="shared" si="1"/>
        <v>7.115277713667677</v>
      </c>
      <c r="M15" s="35">
        <f t="shared" si="1"/>
        <v>119.78431842847715</v>
      </c>
      <c r="N15" s="35">
        <f t="shared" si="1"/>
        <v>226.5127528002505</v>
      </c>
      <c r="O15" s="35">
        <f t="shared" si="1"/>
        <v>1074.5584893925857</v>
      </c>
      <c r="P15" s="35">
        <f t="shared" si="1"/>
        <v>5332</v>
      </c>
    </row>
    <row r="16" spans="1:16" ht="12.75">
      <c r="A16" s="16" t="s">
        <v>103</v>
      </c>
      <c r="B16" s="16" t="s">
        <v>61</v>
      </c>
      <c r="C16" s="35">
        <f t="shared" si="0"/>
        <v>1.544536907997711</v>
      </c>
      <c r="D16" s="35">
        <f t="shared" si="0"/>
        <v>35.91687223983406</v>
      </c>
      <c r="E16" s="35">
        <f t="shared" si="0"/>
        <v>66.33000896598088</v>
      </c>
      <c r="F16" s="35">
        <f t="shared" si="0"/>
        <v>411.167965307908</v>
      </c>
      <c r="G16" s="35">
        <f t="shared" si="0"/>
        <v>1892</v>
      </c>
      <c r="J16" s="16" t="s">
        <v>103</v>
      </c>
      <c r="K16" s="16" t="s">
        <v>61</v>
      </c>
      <c r="L16" s="35">
        <f t="shared" si="1"/>
        <v>1.5103144428260828</v>
      </c>
      <c r="M16" s="35">
        <f t="shared" si="1"/>
        <v>31.336508145674678</v>
      </c>
      <c r="N16" s="35">
        <f t="shared" si="1"/>
        <v>62.119308302201766</v>
      </c>
      <c r="O16" s="35">
        <f t="shared" si="1"/>
        <v>330.6875722619357</v>
      </c>
      <c r="P16" s="35">
        <f t="shared" si="1"/>
        <v>1892</v>
      </c>
    </row>
    <row r="17" spans="1:16" ht="12.75">
      <c r="A17" s="16" t="s">
        <v>104</v>
      </c>
      <c r="B17" s="16" t="s">
        <v>61</v>
      </c>
      <c r="C17" s="35">
        <f>+C14*0.75+C15*0.25</f>
        <v>3.4396895807741856</v>
      </c>
      <c r="D17" s="35">
        <f>+D14*0.75+D15*0.25</f>
        <v>61.610293588754665</v>
      </c>
      <c r="E17" s="35">
        <f>+E14*0.75+E15*0.25</f>
        <v>108.16297435029837</v>
      </c>
      <c r="F17" s="35">
        <f>+F14*0.75+F15*0.25</f>
        <v>577.0617420468318</v>
      </c>
      <c r="G17" s="35">
        <f>+G14*0.75+G15*0.25</f>
        <v>2300.5</v>
      </c>
      <c r="J17" s="16" t="s">
        <v>103</v>
      </c>
      <c r="K17" s="16" t="s">
        <v>61</v>
      </c>
      <c r="L17" s="35">
        <f>+L16</f>
        <v>1.5103144428260828</v>
      </c>
      <c r="M17" s="35">
        <f>+M16</f>
        <v>31.336508145674678</v>
      </c>
      <c r="N17" s="35">
        <f>+N16</f>
        <v>62.119308302201766</v>
      </c>
      <c r="O17" s="35">
        <f>+O16</f>
        <v>330.6875722619357</v>
      </c>
      <c r="P17" s="35">
        <f>+P16</f>
        <v>1892</v>
      </c>
    </row>
    <row r="18" spans="1:256" ht="12.75">
      <c r="A18" s="68"/>
      <c r="B18" s="68"/>
      <c r="C18" s="68"/>
      <c r="D18" s="68"/>
      <c r="E18" s="68"/>
      <c r="F18" s="68"/>
      <c r="G18" s="68"/>
      <c r="J18" s="68"/>
      <c r="K18" s="68"/>
      <c r="L18" s="68"/>
      <c r="M18" s="68"/>
      <c r="N18" s="68"/>
      <c r="O18" s="68"/>
      <c r="P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11" ht="12.75">
      <c r="A19" s="25" t="s">
        <v>65</v>
      </c>
      <c r="B19" s="115">
        <f>+'PMC 01'!B19</f>
        <v>0.3</v>
      </c>
      <c r="J19" s="25" t="s">
        <v>65</v>
      </c>
      <c r="K19" s="115">
        <f>+'PMC 01'!K19</f>
        <v>0.3</v>
      </c>
    </row>
    <row r="20" spans="1:11" ht="12.75">
      <c r="A20" s="25" t="s">
        <v>66</v>
      </c>
      <c r="B20" s="115">
        <f>+'PMC 01'!B20</f>
        <v>0.5</v>
      </c>
      <c r="J20" s="25" t="s">
        <v>66</v>
      </c>
      <c r="K20" s="115">
        <f>+'PMC 01'!K20</f>
        <v>0.5</v>
      </c>
    </row>
    <row r="21" spans="1:16" ht="12.75">
      <c r="A21" s="69" t="s">
        <v>107</v>
      </c>
      <c r="B21" s="116">
        <f>+'PMC 01'!B21</f>
        <v>1.21</v>
      </c>
      <c r="C21" s="38"/>
      <c r="D21" s="38"/>
      <c r="E21" s="38"/>
      <c r="F21" s="38"/>
      <c r="G21" s="38"/>
      <c r="J21" s="69" t="s">
        <v>107</v>
      </c>
      <c r="K21" s="116">
        <f>+'PMC 01'!K21</f>
        <v>1.21</v>
      </c>
      <c r="L21" s="38"/>
      <c r="N21" s="38"/>
      <c r="O21" s="38"/>
      <c r="P21" s="38"/>
    </row>
    <row r="22" spans="3:16" ht="12.75">
      <c r="C22" s="38"/>
      <c r="D22" s="38"/>
      <c r="E22" s="38"/>
      <c r="F22" s="38"/>
      <c r="G22" s="38"/>
      <c r="L22" s="38"/>
      <c r="M22" s="38"/>
      <c r="N22" s="38"/>
      <c r="O22" s="38"/>
      <c r="P22" s="38"/>
    </row>
    <row r="23" spans="1:17" ht="12.75">
      <c r="A23" s="14" t="s">
        <v>57</v>
      </c>
      <c r="B23" s="14"/>
      <c r="C23" s="24" t="s">
        <v>51</v>
      </c>
      <c r="D23" s="24" t="s">
        <v>58</v>
      </c>
      <c r="E23" s="24" t="s">
        <v>59</v>
      </c>
      <c r="F23" s="24" t="s">
        <v>108</v>
      </c>
      <c r="G23" s="24" t="s">
        <v>52</v>
      </c>
      <c r="H23" s="83" t="s">
        <v>6</v>
      </c>
      <c r="J23" s="14" t="s">
        <v>57</v>
      </c>
      <c r="K23" s="16"/>
      <c r="L23" s="27" t="s">
        <v>51</v>
      </c>
      <c r="M23" s="27" t="s">
        <v>58</v>
      </c>
      <c r="N23" s="27" t="s">
        <v>59</v>
      </c>
      <c r="O23" s="27" t="s">
        <v>60</v>
      </c>
      <c r="P23" s="27" t="s">
        <v>52</v>
      </c>
      <c r="Q23" s="39" t="s">
        <v>6</v>
      </c>
    </row>
    <row r="24" spans="1:17" ht="12.75">
      <c r="A24" s="16" t="s">
        <v>156</v>
      </c>
      <c r="B24" s="16" t="s">
        <v>62</v>
      </c>
      <c r="C24" s="117">
        <f>+'PMC 01'!C24</f>
        <v>0.975</v>
      </c>
      <c r="D24" s="117">
        <f>+'PMC 01'!D24</f>
        <v>0.007</v>
      </c>
      <c r="E24" s="117">
        <f>+'PMC 01'!E24</f>
        <v>0.003</v>
      </c>
      <c r="F24" s="117">
        <f>+'PMC 01'!F24</f>
        <v>0.005</v>
      </c>
      <c r="G24" s="117">
        <f>+'PMC 01'!G24</f>
        <v>0.01</v>
      </c>
      <c r="H24" s="5">
        <f>SUM(C24:G24)</f>
        <v>1</v>
      </c>
      <c r="J24" s="16" t="s">
        <v>156</v>
      </c>
      <c r="K24" s="16" t="s">
        <v>62</v>
      </c>
      <c r="L24" s="136">
        <f>+'PMC 01'!L24</f>
        <v>0.989</v>
      </c>
      <c r="M24" s="136">
        <f>+'PMC 01'!M24</f>
        <v>0.001</v>
      </c>
      <c r="N24" s="136">
        <f>+'PMC 01'!N24</f>
        <v>0.0025</v>
      </c>
      <c r="O24" s="136">
        <f>+'PMC 01'!O24</f>
        <v>0.0025</v>
      </c>
      <c r="P24" s="136">
        <f>+'PMC 01'!P24</f>
        <v>0.005</v>
      </c>
      <c r="Q24" s="5">
        <f>SUM(L24:P24)</f>
        <v>0.9999999999999999</v>
      </c>
    </row>
    <row r="25" spans="1:17" ht="12.75">
      <c r="A25" s="34" t="s">
        <v>105</v>
      </c>
      <c r="B25" s="34" t="s">
        <v>61</v>
      </c>
      <c r="C25" s="75">
        <f>+C17*C24</f>
        <v>3.353697341254831</v>
      </c>
      <c r="D25" s="75">
        <f>+D17*D24</f>
        <v>0.43127205512128264</v>
      </c>
      <c r="E25" s="75">
        <f>+E17*E24</f>
        <v>0.3244889230508951</v>
      </c>
      <c r="F25" s="75">
        <f>+F17*F24</f>
        <v>2.8853087102341592</v>
      </c>
      <c r="G25" s="75">
        <f>+G17*G24</f>
        <v>23.005</v>
      </c>
      <c r="H25" s="6">
        <f>SUM(C25:G25)</f>
        <v>29.999767029661164</v>
      </c>
      <c r="J25" s="34" t="s">
        <v>105</v>
      </c>
      <c r="K25" s="34" t="s">
        <v>61</v>
      </c>
      <c r="L25" s="7">
        <f>+L17*L24</f>
        <v>1.493700983954996</v>
      </c>
      <c r="M25" s="7">
        <f>+M17*M24</f>
        <v>0.03133650814567468</v>
      </c>
      <c r="N25" s="7">
        <f>+N17*N24</f>
        <v>0.15529827075550443</v>
      </c>
      <c r="O25" s="7">
        <f>+O17*O24</f>
        <v>0.8267189306548393</v>
      </c>
      <c r="P25" s="7">
        <f>+P17*P24</f>
        <v>9.46</v>
      </c>
      <c r="Q25" s="7">
        <f>SUM(L25:P25)</f>
        <v>11.967054693511015</v>
      </c>
    </row>
    <row r="26" spans="1:17" ht="12.75">
      <c r="A26" s="10" t="s">
        <v>145</v>
      </c>
      <c r="B26" s="16"/>
      <c r="C26" s="16"/>
      <c r="D26" s="40"/>
      <c r="E26" s="40"/>
      <c r="F26" s="40"/>
      <c r="G26" s="40"/>
      <c r="H26" s="11"/>
      <c r="J26" s="10" t="s">
        <v>145</v>
      </c>
      <c r="K26" s="16"/>
      <c r="L26" s="16"/>
      <c r="M26" s="10"/>
      <c r="N26" s="10"/>
      <c r="O26" s="10"/>
      <c r="P26" s="10"/>
      <c r="Q26" s="11"/>
    </row>
    <row r="27" spans="1:17" ht="12.75">
      <c r="A27" s="16" t="s">
        <v>156</v>
      </c>
      <c r="B27" s="16" t="s">
        <v>62</v>
      </c>
      <c r="C27" s="76">
        <f>100%-D27-E27-F27-G27</f>
        <v>0.9825</v>
      </c>
      <c r="D27" s="77">
        <f>+D24*(100%-$B19)</f>
        <v>0.0049</v>
      </c>
      <c r="E27" s="77">
        <f>+E24*(100%-$B19)</f>
        <v>0.0021</v>
      </c>
      <c r="F27" s="77">
        <f>+F24*(100%-$B19)</f>
        <v>0.0034999999999999996</v>
      </c>
      <c r="G27" s="77">
        <f>+G24*(100%-$B19)</f>
        <v>0.006999999999999999</v>
      </c>
      <c r="H27" s="5">
        <f>SUM(C27:G27)</f>
        <v>1</v>
      </c>
      <c r="J27" s="16" t="s">
        <v>156</v>
      </c>
      <c r="K27" s="16" t="s">
        <v>62</v>
      </c>
      <c r="L27" s="8">
        <f>100%-M27-N27-O27-P27</f>
        <v>0.9923</v>
      </c>
      <c r="M27" s="9">
        <f>+M24*(100%-$K19)</f>
        <v>0.0007</v>
      </c>
      <c r="N27" s="9">
        <f>+N24*(100%-$K19)</f>
        <v>0.0017499999999999998</v>
      </c>
      <c r="O27" s="9">
        <f>+O24*(100%-$K19)</f>
        <v>0.0017499999999999998</v>
      </c>
      <c r="P27" s="9">
        <f>+P24*(100%-$K19)</f>
        <v>0.0034999999999999996</v>
      </c>
      <c r="Q27" s="5">
        <f>SUM(L27:P27)</f>
        <v>1</v>
      </c>
    </row>
    <row r="28" spans="1:17" ht="12.75">
      <c r="A28" s="34" t="s">
        <v>106</v>
      </c>
      <c r="B28" s="34" t="s">
        <v>61</v>
      </c>
      <c r="C28" s="75">
        <f>+C27*C17</f>
        <v>3.3794950131106374</v>
      </c>
      <c r="D28" s="75">
        <f>+D27*D17</f>
        <v>0.30189043858489784</v>
      </c>
      <c r="E28" s="75">
        <f>+E27*E17</f>
        <v>0.22714224613562656</v>
      </c>
      <c r="F28" s="75">
        <f>+F27*F17</f>
        <v>2.019716097163911</v>
      </c>
      <c r="G28" s="75">
        <f>+G27*G17</f>
        <v>16.103499999999997</v>
      </c>
      <c r="H28" s="7">
        <f>SUM(C28:G28)</f>
        <v>22.03174379499507</v>
      </c>
      <c r="J28" s="34" t="s">
        <v>106</v>
      </c>
      <c r="K28" s="34" t="s">
        <v>61</v>
      </c>
      <c r="L28" s="7">
        <f>+L27*L17</f>
        <v>1.4986850216163219</v>
      </c>
      <c r="M28" s="7">
        <f>+M27*M17</f>
        <v>0.021935555701972274</v>
      </c>
      <c r="N28" s="7">
        <f>+N27*N17</f>
        <v>0.10870878952885307</v>
      </c>
      <c r="O28" s="7">
        <f>+O27*O17</f>
        <v>0.5787032514583874</v>
      </c>
      <c r="P28" s="7">
        <f>+P27*P17</f>
        <v>6.621999999999999</v>
      </c>
      <c r="Q28" s="7">
        <f>SUM(L28:P28)</f>
        <v>8.830032618305534</v>
      </c>
    </row>
    <row r="29" spans="1:17" ht="12.75">
      <c r="A29" s="12" t="s">
        <v>97</v>
      </c>
      <c r="B29" s="40"/>
      <c r="C29" s="40"/>
      <c r="D29" s="40"/>
      <c r="E29" s="40"/>
      <c r="F29" s="40"/>
      <c r="G29" s="40"/>
      <c r="H29" s="10"/>
      <c r="J29" s="12" t="s">
        <v>170</v>
      </c>
      <c r="K29" s="40"/>
      <c r="L29" s="10"/>
      <c r="M29" s="10"/>
      <c r="N29" s="10"/>
      <c r="O29" s="10"/>
      <c r="P29" s="10"/>
      <c r="Q29" s="10"/>
    </row>
    <row r="30" spans="1:17" ht="12.75">
      <c r="A30" s="16" t="s">
        <v>156</v>
      </c>
      <c r="B30" s="16" t="s">
        <v>62</v>
      </c>
      <c r="C30" s="76">
        <f>100%-D30-E30-F30-G30</f>
        <v>0.98775</v>
      </c>
      <c r="D30" s="76">
        <f>+D27</f>
        <v>0.0049</v>
      </c>
      <c r="E30" s="76">
        <f>+E27</f>
        <v>0.0021</v>
      </c>
      <c r="F30" s="77">
        <f>(100%-$B20)*F27</f>
        <v>0.0017499999999999998</v>
      </c>
      <c r="G30" s="77">
        <f>(100%-$B20)*G27</f>
        <v>0.0034999999999999996</v>
      </c>
      <c r="H30" s="5">
        <f>SUM(C30:G30)</f>
        <v>1</v>
      </c>
      <c r="J30" s="16" t="s">
        <v>156</v>
      </c>
      <c r="K30" s="16" t="s">
        <v>62</v>
      </c>
      <c r="L30" s="8">
        <f>100%-M30-N30-O30-P30</f>
        <v>0.994925</v>
      </c>
      <c r="M30" s="8">
        <f>+M27</f>
        <v>0.0007</v>
      </c>
      <c r="N30" s="8">
        <f>+N27</f>
        <v>0.0017499999999999998</v>
      </c>
      <c r="O30" s="9">
        <f>(100%-$K20)*O27</f>
        <v>0.0008749999999999999</v>
      </c>
      <c r="P30" s="9">
        <f>(100%-$K20)*P27</f>
        <v>0.0017499999999999998</v>
      </c>
      <c r="Q30" s="5">
        <f>SUM(L30:P30)</f>
        <v>1</v>
      </c>
    </row>
    <row r="31" spans="1:17" ht="12.75">
      <c r="A31" s="34" t="s">
        <v>106</v>
      </c>
      <c r="B31" s="34" t="s">
        <v>61</v>
      </c>
      <c r="C31" s="75">
        <f>+C17*C30</f>
        <v>3.397553383409702</v>
      </c>
      <c r="D31" s="75">
        <f>+D17*D30</f>
        <v>0.30189043858489784</v>
      </c>
      <c r="E31" s="75">
        <f>+E17*E30</f>
        <v>0.22714224613562656</v>
      </c>
      <c r="F31" s="75">
        <f>+F17*F30</f>
        <v>1.0098580485819555</v>
      </c>
      <c r="G31" s="75">
        <f>+G17*G30</f>
        <v>8.051749999999998</v>
      </c>
      <c r="H31" s="7">
        <f>SUM(C31:G31)</f>
        <v>12.98819411671218</v>
      </c>
      <c r="J31" s="34" t="s">
        <v>106</v>
      </c>
      <c r="K31" s="34" t="s">
        <v>61</v>
      </c>
      <c r="L31" s="7">
        <f>+L17*L30</f>
        <v>1.5026495970287403</v>
      </c>
      <c r="M31" s="7">
        <f>+M17*M30</f>
        <v>0.021935555701972274</v>
      </c>
      <c r="N31" s="7">
        <f>+N17*N30</f>
        <v>0.10870878952885307</v>
      </c>
      <c r="O31" s="7">
        <f>+O17*O30</f>
        <v>0.2893516257291937</v>
      </c>
      <c r="P31" s="7">
        <f>+P17*P30</f>
        <v>3.3109999999999995</v>
      </c>
      <c r="Q31" s="7">
        <f>SUM(L31:P31)</f>
        <v>5.233645567988759</v>
      </c>
    </row>
    <row r="32" spans="1:17" ht="12.75">
      <c r="A32" s="14" t="s">
        <v>68</v>
      </c>
      <c r="B32" s="16"/>
      <c r="C32" s="16"/>
      <c r="D32" s="16"/>
      <c r="E32" s="16"/>
      <c r="F32" s="16"/>
      <c r="G32" s="97"/>
      <c r="H32" s="14"/>
      <c r="J32" s="14" t="s">
        <v>68</v>
      </c>
      <c r="K32" s="16"/>
      <c r="L32" s="16"/>
      <c r="M32" s="16"/>
      <c r="N32" s="16"/>
      <c r="O32" s="16"/>
      <c r="P32" s="97"/>
      <c r="Q32" s="16"/>
    </row>
    <row r="33" spans="1:17" ht="12.75">
      <c r="A33" s="16" t="s">
        <v>156</v>
      </c>
      <c r="B33" s="16" t="s">
        <v>62</v>
      </c>
      <c r="C33" s="41">
        <f>100%-SUM(D33:G33)</f>
        <v>0.981405</v>
      </c>
      <c r="D33" s="43">
        <f>+D30*$B21</f>
        <v>0.005928999999999999</v>
      </c>
      <c r="E33" s="43">
        <f>+E30*$B21</f>
        <v>0.002541</v>
      </c>
      <c r="F33" s="42">
        <f>+(-F30+F24)/2+F30</f>
        <v>0.003375</v>
      </c>
      <c r="G33" s="42">
        <f>+(-G30+G24)/2+G30</f>
        <v>0.00675</v>
      </c>
      <c r="H33" s="5">
        <f>SUM(C33:G33)</f>
        <v>1</v>
      </c>
      <c r="J33" s="16" t="s">
        <v>156</v>
      </c>
      <c r="K33" s="16" t="s">
        <v>62</v>
      </c>
      <c r="L33" s="41">
        <f>100%-SUM(M33:P33)</f>
        <v>0.991973</v>
      </c>
      <c r="M33" s="43">
        <f>+M30*$K21</f>
        <v>0.000847</v>
      </c>
      <c r="N33" s="43">
        <f>+N30*$K21</f>
        <v>0.0021174999999999996</v>
      </c>
      <c r="O33" s="42">
        <f>+(-O30+O24)/2+O30</f>
        <v>0.0016875</v>
      </c>
      <c r="P33" s="42">
        <f>+(-P30+P24)/2+P30</f>
        <v>0.003375</v>
      </c>
      <c r="Q33" s="41">
        <f>SUM(L33:P33)</f>
        <v>1</v>
      </c>
    </row>
    <row r="34" spans="1:17" ht="12.75">
      <c r="A34" s="34" t="s">
        <v>106</v>
      </c>
      <c r="B34" s="34" t="s">
        <v>61</v>
      </c>
      <c r="C34" s="45">
        <f>+C33*C17</f>
        <v>3.3757285530196897</v>
      </c>
      <c r="D34" s="45">
        <f>+D33*D17</f>
        <v>0.36528743068772634</v>
      </c>
      <c r="E34" s="45">
        <f>+E33*E17</f>
        <v>0.27484211782410817</v>
      </c>
      <c r="F34" s="45">
        <f>+F33*F17</f>
        <v>1.9475833794080573</v>
      </c>
      <c r="G34" s="45">
        <f>+G33*G17</f>
        <v>15.528375</v>
      </c>
      <c r="H34" s="13">
        <f>SUM(C34:G34)</f>
        <v>21.491816480939583</v>
      </c>
      <c r="J34" s="34" t="s">
        <v>106</v>
      </c>
      <c r="K34" s="34" t="s">
        <v>61</v>
      </c>
      <c r="L34" s="45">
        <f>+L33*L17</f>
        <v>1.4981911487935178</v>
      </c>
      <c r="M34" s="45">
        <f>+M33*M17</f>
        <v>0.026542022399386453</v>
      </c>
      <c r="N34" s="45">
        <f>+N33*N17</f>
        <v>0.13153763532991222</v>
      </c>
      <c r="O34" s="45">
        <f>+O33*O17</f>
        <v>0.5580352781920165</v>
      </c>
      <c r="P34" s="45">
        <f>+P33*P17</f>
        <v>6.3854999999999995</v>
      </c>
      <c r="Q34" s="45">
        <f>SUM(L34:P34)</f>
        <v>8.599806084714832</v>
      </c>
    </row>
    <row r="35" spans="1:17" ht="12.75">
      <c r="A35" s="14" t="s">
        <v>69</v>
      </c>
      <c r="B35" s="34"/>
      <c r="C35" s="70"/>
      <c r="D35" s="70"/>
      <c r="E35" s="70"/>
      <c r="F35" s="70"/>
      <c r="G35" s="70"/>
      <c r="H35" s="78"/>
      <c r="J35" s="14" t="s">
        <v>69</v>
      </c>
      <c r="K35" s="34"/>
      <c r="L35" s="70"/>
      <c r="M35" s="70"/>
      <c r="N35" s="70"/>
      <c r="O35" s="70"/>
      <c r="P35" s="70"/>
      <c r="Q35" s="70"/>
    </row>
    <row r="36" spans="1:17" ht="12.75">
      <c r="A36" s="16" t="s">
        <v>156</v>
      </c>
      <c r="B36" s="16" t="s">
        <v>62</v>
      </c>
      <c r="C36" s="41">
        <f>100%-SUM(D36:G36)</f>
        <v>0.9846322314049587</v>
      </c>
      <c r="D36" s="41">
        <f>+D30</f>
        <v>0.0049</v>
      </c>
      <c r="E36" s="41">
        <f>+E30</f>
        <v>0.0021</v>
      </c>
      <c r="F36" s="137">
        <f>+(E36/E33*F33)</f>
        <v>0.0027892561983471073</v>
      </c>
      <c r="G36" s="42">
        <f>+(E36/E33)*G33</f>
        <v>0.005578512396694215</v>
      </c>
      <c r="H36" s="79">
        <f>SUM(C36:G36)</f>
        <v>1</v>
      </c>
      <c r="J36" s="16" t="s">
        <v>156</v>
      </c>
      <c r="K36" s="16" t="s">
        <v>62</v>
      </c>
      <c r="L36" s="41">
        <f>100%-SUM(M36:P36)</f>
        <v>0.9933661157024793</v>
      </c>
      <c r="M36" s="41">
        <f>+M30</f>
        <v>0.0007</v>
      </c>
      <c r="N36" s="41">
        <f>+N30</f>
        <v>0.0017499999999999998</v>
      </c>
      <c r="O36" s="137">
        <f>+(N36/N33*O33)</f>
        <v>0.0013946280991735537</v>
      </c>
      <c r="P36" s="42">
        <f>+(N36/N33)*P33</f>
        <v>0.0027892561983471073</v>
      </c>
      <c r="Q36" s="43">
        <f>SUM(L36:P36)</f>
        <v>1</v>
      </c>
    </row>
    <row r="37" spans="1:17" ht="12.75">
      <c r="A37" s="34" t="s">
        <v>106</v>
      </c>
      <c r="B37" s="34" t="s">
        <v>61</v>
      </c>
      <c r="C37" s="45">
        <f>+C36*C17</f>
        <v>3.3868292272580733</v>
      </c>
      <c r="D37" s="45">
        <f>+D36*D17</f>
        <v>0.30189043858489784</v>
      </c>
      <c r="E37" s="45">
        <f>+E36*E17</f>
        <v>0.22714224613562656</v>
      </c>
      <c r="F37" s="45">
        <f>+F36*F17</f>
        <v>1.6095730408331053</v>
      </c>
      <c r="G37" s="45">
        <f>+G36*G17</f>
        <v>12.833367768595041</v>
      </c>
      <c r="H37" s="13">
        <f>SUM(C37:G37)</f>
        <v>18.358802721406743</v>
      </c>
      <c r="J37" s="34" t="s">
        <v>106</v>
      </c>
      <c r="K37" s="34" t="s">
        <v>61</v>
      </c>
      <c r="L37" s="45">
        <f>+L36*L17</f>
        <v>1.5002951915595002</v>
      </c>
      <c r="M37" s="45">
        <f>+M36*M17</f>
        <v>0.021935555701972274</v>
      </c>
      <c r="N37" s="45">
        <f>+N36*N17</f>
        <v>0.10870878952885307</v>
      </c>
      <c r="O37" s="45">
        <f>+O36*O17</f>
        <v>0.46118618032398057</v>
      </c>
      <c r="P37" s="45">
        <f>+P36*P17</f>
        <v>5.277272727272727</v>
      </c>
      <c r="Q37" s="45">
        <f>SUM(L37:P37)</f>
        <v>7.369398444387033</v>
      </c>
    </row>
    <row r="38" spans="1:17" ht="12.75">
      <c r="A38" s="16"/>
      <c r="B38" s="16"/>
      <c r="C38" s="46"/>
      <c r="D38" s="47"/>
      <c r="E38" s="47"/>
      <c r="F38" s="47"/>
      <c r="G38" s="47"/>
      <c r="H38" s="80"/>
      <c r="J38" s="16"/>
      <c r="K38" s="16"/>
      <c r="L38" s="46"/>
      <c r="M38" s="47"/>
      <c r="N38" s="47"/>
      <c r="O38" s="47"/>
      <c r="P38" s="47"/>
      <c r="Q38" s="47"/>
    </row>
    <row r="39" spans="1:22" ht="51">
      <c r="A39" s="16"/>
      <c r="B39" s="16"/>
      <c r="C39" s="46"/>
      <c r="D39" s="46"/>
      <c r="E39" s="46"/>
      <c r="F39" s="46"/>
      <c r="G39" s="46"/>
      <c r="H39" s="81" t="s">
        <v>39</v>
      </c>
      <c r="J39" s="16"/>
      <c r="K39" s="16"/>
      <c r="L39" s="46"/>
      <c r="M39" s="46"/>
      <c r="N39" s="46"/>
      <c r="O39" s="46"/>
      <c r="P39" s="46"/>
      <c r="Q39" s="81" t="s">
        <v>39</v>
      </c>
      <c r="R39" s="25" t="s">
        <v>7</v>
      </c>
      <c r="S39" s="64" t="s">
        <v>141</v>
      </c>
      <c r="T39" s="64" t="s">
        <v>142</v>
      </c>
      <c r="U39" s="111" t="s">
        <v>143</v>
      </c>
      <c r="V39" s="111" t="s">
        <v>144</v>
      </c>
    </row>
    <row r="40" spans="1:22" ht="12.75">
      <c r="A40" s="16" t="s">
        <v>137</v>
      </c>
      <c r="B40" s="16">
        <v>0</v>
      </c>
      <c r="C40" s="41">
        <f>+C30</f>
        <v>0.98775</v>
      </c>
      <c r="D40" s="41">
        <f>+D30</f>
        <v>0.0049</v>
      </c>
      <c r="E40" s="41">
        <f>+E30</f>
        <v>0.0021</v>
      </c>
      <c r="F40" s="41">
        <f>+F30</f>
        <v>0.0017499999999999998</v>
      </c>
      <c r="G40" s="41">
        <f>+G30</f>
        <v>0.0034999999999999996</v>
      </c>
      <c r="H40" s="13">
        <f>+C40*C$17+D40*D$17+E40*E$17+F40*F$17+G40*G$17</f>
        <v>12.98819411671218</v>
      </c>
      <c r="J40" s="16"/>
      <c r="K40" s="16"/>
      <c r="L40" s="41">
        <f>+L30</f>
        <v>0.994925</v>
      </c>
      <c r="M40" s="41">
        <f>+M30</f>
        <v>0.0007</v>
      </c>
      <c r="N40" s="41">
        <f>+N30</f>
        <v>0.0017499999999999998</v>
      </c>
      <c r="O40" s="41">
        <f>+O30</f>
        <v>0.0008749999999999999</v>
      </c>
      <c r="P40" s="41">
        <f>+P30</f>
        <v>0.0017499999999999998</v>
      </c>
      <c r="Q40" s="13">
        <f>+L40*L$17+M40*M$17+N40*N$17+O40*O$17+P40*P$17</f>
        <v>5.233645567988759</v>
      </c>
      <c r="R40" s="25">
        <v>0</v>
      </c>
      <c r="S40" s="112">
        <f aca="true" t="shared" si="2" ref="S40:S45">+H40</f>
        <v>12.98819411671218</v>
      </c>
      <c r="T40" s="112">
        <f aca="true" t="shared" si="3" ref="T40:T45">+H47</f>
        <v>12.98819411671218</v>
      </c>
      <c r="U40" s="112">
        <f aca="true" t="shared" si="4" ref="U40:U45">+H54</f>
        <v>12.98819411671218</v>
      </c>
      <c r="V40" s="112">
        <f aca="true" t="shared" si="5" ref="V40:V45">+H$62</f>
        <v>16.456751858942674</v>
      </c>
    </row>
    <row r="41" spans="1:22" ht="12.75">
      <c r="A41" s="16" t="s">
        <v>138</v>
      </c>
      <c r="B41" s="16">
        <v>1</v>
      </c>
      <c r="C41" s="41">
        <f aca="true" t="shared" si="6" ref="C41:G45">+(C$33-C$40)/5+C40</f>
        <v>0.986481</v>
      </c>
      <c r="D41" s="41">
        <f t="shared" si="6"/>
        <v>0.0051058</v>
      </c>
      <c r="E41" s="41">
        <f t="shared" si="6"/>
        <v>0.0021882</v>
      </c>
      <c r="F41" s="41">
        <f t="shared" si="6"/>
        <v>0.002075</v>
      </c>
      <c r="G41" s="41">
        <f t="shared" si="6"/>
        <v>0.00415</v>
      </c>
      <c r="H41" s="13">
        <f aca="true" t="shared" si="7" ref="H41:H59">+C41*C$17+D41*D$17+E41*E$17+F41*F$17+G41*G$17</f>
        <v>14.688918589557662</v>
      </c>
      <c r="J41" s="16"/>
      <c r="K41" s="16"/>
      <c r="L41" s="41">
        <f aca="true" t="shared" si="8" ref="L41:P45">+(L$33-L$40)/5+L40</f>
        <v>0.9943346</v>
      </c>
      <c r="M41" s="41">
        <f t="shared" si="8"/>
        <v>0.0007294</v>
      </c>
      <c r="N41" s="41">
        <f t="shared" si="8"/>
        <v>0.0018234999999999998</v>
      </c>
      <c r="O41" s="41">
        <f t="shared" si="8"/>
        <v>0.0010375</v>
      </c>
      <c r="P41" s="41">
        <f t="shared" si="8"/>
        <v>0.002075</v>
      </c>
      <c r="Q41" s="13">
        <f aca="true" t="shared" si="9" ref="Q41:Q59">+L41*L$17+M41*M$17+N41*N$17+O41*O$17+P41*P$17</f>
        <v>5.906877671333974</v>
      </c>
      <c r="R41" s="25">
        <v>1</v>
      </c>
      <c r="S41" s="112">
        <f t="shared" si="2"/>
        <v>14.688918589557662</v>
      </c>
      <c r="T41" s="112">
        <f t="shared" si="3"/>
        <v>14.062315837651095</v>
      </c>
      <c r="U41" s="112">
        <f t="shared" si="4"/>
        <v>14.375617213604379</v>
      </c>
      <c r="V41" s="112">
        <f t="shared" si="5"/>
        <v>16.456751858942674</v>
      </c>
    </row>
    <row r="42" spans="1:22" ht="12.75">
      <c r="A42" s="16"/>
      <c r="B42" s="16">
        <v>2</v>
      </c>
      <c r="C42" s="41">
        <f t="shared" si="6"/>
        <v>0.9852120000000001</v>
      </c>
      <c r="D42" s="41">
        <f t="shared" si="6"/>
        <v>0.0053116</v>
      </c>
      <c r="E42" s="41">
        <f t="shared" si="6"/>
        <v>0.0022764</v>
      </c>
      <c r="F42" s="41">
        <f t="shared" si="6"/>
        <v>0.0024000000000000002</v>
      </c>
      <c r="G42" s="41">
        <f t="shared" si="6"/>
        <v>0.0048000000000000004</v>
      </c>
      <c r="H42" s="13">
        <f t="shared" si="7"/>
        <v>16.389643062403145</v>
      </c>
      <c r="J42" s="16"/>
      <c r="K42" s="16"/>
      <c r="L42" s="41">
        <f t="shared" si="8"/>
        <v>0.9937442</v>
      </c>
      <c r="M42" s="41">
        <f t="shared" si="8"/>
        <v>0.0007587999999999999</v>
      </c>
      <c r="N42" s="41">
        <f t="shared" si="8"/>
        <v>0.0018969999999999998</v>
      </c>
      <c r="O42" s="41">
        <f t="shared" si="8"/>
        <v>0.0012000000000000001</v>
      </c>
      <c r="P42" s="41">
        <f t="shared" si="8"/>
        <v>0.0024000000000000002</v>
      </c>
      <c r="Q42" s="13">
        <f t="shared" si="9"/>
        <v>6.58010977467919</v>
      </c>
      <c r="R42" s="25">
        <v>2</v>
      </c>
      <c r="S42" s="112">
        <f t="shared" si="2"/>
        <v>16.389643062403145</v>
      </c>
      <c r="T42" s="112">
        <f t="shared" si="3"/>
        <v>15.136437558590009</v>
      </c>
      <c r="U42" s="112">
        <f t="shared" si="4"/>
        <v>15.763040310496574</v>
      </c>
      <c r="V42" s="112">
        <f t="shared" si="5"/>
        <v>16.456751858942674</v>
      </c>
    </row>
    <row r="43" spans="1:22" ht="12.75">
      <c r="A43" s="16"/>
      <c r="B43" s="16">
        <v>3</v>
      </c>
      <c r="C43" s="41">
        <f t="shared" si="6"/>
        <v>0.9839430000000001</v>
      </c>
      <c r="D43" s="41">
        <f t="shared" si="6"/>
        <v>0.0055173999999999996</v>
      </c>
      <c r="E43" s="41">
        <f t="shared" si="6"/>
        <v>0.0023646</v>
      </c>
      <c r="F43" s="41">
        <f t="shared" si="6"/>
        <v>0.0027250000000000004</v>
      </c>
      <c r="G43" s="41">
        <f t="shared" si="6"/>
        <v>0.005450000000000001</v>
      </c>
      <c r="H43" s="13">
        <f t="shared" si="7"/>
        <v>18.090367535248625</v>
      </c>
      <c r="J43" s="16"/>
      <c r="K43" s="16"/>
      <c r="L43" s="41">
        <f t="shared" si="8"/>
        <v>0.9931538</v>
      </c>
      <c r="M43" s="41">
        <f t="shared" si="8"/>
        <v>0.0007881999999999999</v>
      </c>
      <c r="N43" s="41">
        <f t="shared" si="8"/>
        <v>0.0019704999999999996</v>
      </c>
      <c r="O43" s="41">
        <f t="shared" si="8"/>
        <v>0.0013625000000000002</v>
      </c>
      <c r="P43" s="41">
        <f t="shared" si="8"/>
        <v>0.0027250000000000004</v>
      </c>
      <c r="Q43" s="13">
        <f t="shared" si="9"/>
        <v>7.253341878024404</v>
      </c>
      <c r="R43" s="25">
        <v>3</v>
      </c>
      <c r="S43" s="112">
        <f t="shared" si="2"/>
        <v>18.090367535248625</v>
      </c>
      <c r="T43" s="112">
        <f t="shared" si="3"/>
        <v>16.210559279528923</v>
      </c>
      <c r="U43" s="112">
        <f t="shared" si="4"/>
        <v>17.15046340738877</v>
      </c>
      <c r="V43" s="112">
        <f t="shared" si="5"/>
        <v>16.456751858942674</v>
      </c>
    </row>
    <row r="44" spans="1:22" ht="12.75">
      <c r="A44" s="16"/>
      <c r="B44" s="16">
        <v>4</v>
      </c>
      <c r="C44" s="41">
        <f t="shared" si="6"/>
        <v>0.9826740000000002</v>
      </c>
      <c r="D44" s="41">
        <f t="shared" si="6"/>
        <v>0.0057231999999999995</v>
      </c>
      <c r="E44" s="41">
        <f t="shared" si="6"/>
        <v>0.0024528</v>
      </c>
      <c r="F44" s="41">
        <f t="shared" si="6"/>
        <v>0.0030500000000000006</v>
      </c>
      <c r="G44" s="41">
        <f t="shared" si="6"/>
        <v>0.006100000000000001</v>
      </c>
      <c r="H44" s="13">
        <f t="shared" si="7"/>
        <v>19.791092008094104</v>
      </c>
      <c r="J44" s="16"/>
      <c r="K44" s="16"/>
      <c r="L44" s="41">
        <f t="shared" si="8"/>
        <v>0.9925634</v>
      </c>
      <c r="M44" s="41">
        <f t="shared" si="8"/>
        <v>0.0008175999999999998</v>
      </c>
      <c r="N44" s="41">
        <f t="shared" si="8"/>
        <v>0.0020439999999999994</v>
      </c>
      <c r="O44" s="41">
        <f t="shared" si="8"/>
        <v>0.0015250000000000003</v>
      </c>
      <c r="P44" s="41">
        <f t="shared" si="8"/>
        <v>0.0030500000000000006</v>
      </c>
      <c r="Q44" s="13">
        <f t="shared" si="9"/>
        <v>7.92657398136962</v>
      </c>
      <c r="R44" s="25">
        <v>4</v>
      </c>
      <c r="S44" s="112">
        <f t="shared" si="2"/>
        <v>19.791092008094104</v>
      </c>
      <c r="T44" s="112">
        <f t="shared" si="3"/>
        <v>17.284681000467835</v>
      </c>
      <c r="U44" s="112">
        <f t="shared" si="4"/>
        <v>18.53788650428097</v>
      </c>
      <c r="V44" s="112">
        <f t="shared" si="5"/>
        <v>16.456751858942674</v>
      </c>
    </row>
    <row r="45" spans="1:22" ht="12.75">
      <c r="A45" s="16"/>
      <c r="B45" s="16">
        <v>5</v>
      </c>
      <c r="C45" s="41">
        <f t="shared" si="6"/>
        <v>0.9814050000000002</v>
      </c>
      <c r="D45" s="41">
        <f t="shared" si="6"/>
        <v>0.005928999999999999</v>
      </c>
      <c r="E45" s="41">
        <f t="shared" si="6"/>
        <v>0.0025410000000000003</v>
      </c>
      <c r="F45" s="41">
        <f t="shared" si="6"/>
        <v>0.003375000000000001</v>
      </c>
      <c r="G45" s="41">
        <f t="shared" si="6"/>
        <v>0.006750000000000002</v>
      </c>
      <c r="H45" s="13">
        <f t="shared" si="7"/>
        <v>21.491816480939587</v>
      </c>
      <c r="J45" s="16"/>
      <c r="K45" s="16"/>
      <c r="L45" s="41">
        <f t="shared" si="8"/>
        <v>0.991973</v>
      </c>
      <c r="M45" s="41">
        <f t="shared" si="8"/>
        <v>0.0008469999999999998</v>
      </c>
      <c r="N45" s="41">
        <f t="shared" si="8"/>
        <v>0.002117499999999999</v>
      </c>
      <c r="O45" s="41">
        <f t="shared" si="8"/>
        <v>0.0016875000000000004</v>
      </c>
      <c r="P45" s="41">
        <f t="shared" si="8"/>
        <v>0.003375000000000001</v>
      </c>
      <c r="Q45" s="13">
        <f t="shared" si="9"/>
        <v>8.599806084714835</v>
      </c>
      <c r="R45" s="25">
        <v>5</v>
      </c>
      <c r="S45" s="112">
        <f t="shared" si="2"/>
        <v>21.491816480939587</v>
      </c>
      <c r="T45" s="112">
        <f t="shared" si="3"/>
        <v>18.358802721406747</v>
      </c>
      <c r="U45" s="112">
        <f t="shared" si="4"/>
        <v>19.92530960117317</v>
      </c>
      <c r="V45" s="112">
        <f t="shared" si="5"/>
        <v>16.456751858942674</v>
      </c>
    </row>
    <row r="46" spans="1:17" ht="12.75">
      <c r="A46" s="16"/>
      <c r="B46" s="16"/>
      <c r="C46" s="48"/>
      <c r="D46" s="48"/>
      <c r="E46" s="48"/>
      <c r="F46" s="48"/>
      <c r="G46" s="48"/>
      <c r="H46" s="48"/>
      <c r="J46" s="16"/>
      <c r="K46" s="16"/>
      <c r="L46" s="48"/>
      <c r="M46" s="48"/>
      <c r="N46" s="48"/>
      <c r="O46" s="48"/>
      <c r="P46" s="48"/>
      <c r="Q46" s="48"/>
    </row>
    <row r="47" spans="1:22" ht="51">
      <c r="A47" s="16" t="s">
        <v>139</v>
      </c>
      <c r="B47" s="16">
        <v>0</v>
      </c>
      <c r="C47" s="41">
        <f>+C30</f>
        <v>0.98775</v>
      </c>
      <c r="D47" s="41">
        <f>+D30</f>
        <v>0.0049</v>
      </c>
      <c r="E47" s="41">
        <f>+E30</f>
        <v>0.0021</v>
      </c>
      <c r="F47" s="41">
        <f>+F30</f>
        <v>0.0017499999999999998</v>
      </c>
      <c r="G47" s="41">
        <f>+G30</f>
        <v>0.0034999999999999996</v>
      </c>
      <c r="H47" s="13">
        <f t="shared" si="7"/>
        <v>12.98819411671218</v>
      </c>
      <c r="J47" s="16"/>
      <c r="K47" s="16"/>
      <c r="L47" s="41">
        <f>+L30</f>
        <v>0.994925</v>
      </c>
      <c r="M47" s="41">
        <f>+M30</f>
        <v>0.0007</v>
      </c>
      <c r="N47" s="41">
        <f>+N30</f>
        <v>0.0017499999999999998</v>
      </c>
      <c r="O47" s="41">
        <f>+O30</f>
        <v>0.0008749999999999999</v>
      </c>
      <c r="P47" s="41">
        <f>+P30</f>
        <v>0.0017499999999999998</v>
      </c>
      <c r="Q47" s="13">
        <f t="shared" si="9"/>
        <v>5.233645567988759</v>
      </c>
      <c r="R47" s="25" t="s">
        <v>8</v>
      </c>
      <c r="S47" s="64" t="s">
        <v>141</v>
      </c>
      <c r="T47" s="64" t="s">
        <v>142</v>
      </c>
      <c r="U47" s="111" t="s">
        <v>143</v>
      </c>
      <c r="V47" s="111" t="s">
        <v>144</v>
      </c>
    </row>
    <row r="48" spans="1:22" ht="12.75">
      <c r="A48" s="16"/>
      <c r="B48" s="16">
        <v>1</v>
      </c>
      <c r="C48" s="41">
        <f aca="true" t="shared" si="10" ref="C48:G52">+(C$36-C$47)/5+C47</f>
        <v>0.9871264462809918</v>
      </c>
      <c r="D48" s="41">
        <f t="shared" si="10"/>
        <v>0.0049</v>
      </c>
      <c r="E48" s="41">
        <f t="shared" si="10"/>
        <v>0.0021</v>
      </c>
      <c r="F48" s="41">
        <f t="shared" si="10"/>
        <v>0.0019578512396694215</v>
      </c>
      <c r="G48" s="41">
        <f t="shared" si="10"/>
        <v>0.003915702479338843</v>
      </c>
      <c r="H48" s="13">
        <f t="shared" si="7"/>
        <v>14.062315837651095</v>
      </c>
      <c r="J48" s="16"/>
      <c r="K48" s="16"/>
      <c r="L48" s="41">
        <f aca="true" t="shared" si="11" ref="L48:P52">+(L$36-L$47)/5+L47</f>
        <v>0.9946132231404958</v>
      </c>
      <c r="M48" s="41">
        <f t="shared" si="11"/>
        <v>0.0007</v>
      </c>
      <c r="N48" s="41">
        <f t="shared" si="11"/>
        <v>0.0017499999999999998</v>
      </c>
      <c r="O48" s="41">
        <f t="shared" si="11"/>
        <v>0.0009789256198347107</v>
      </c>
      <c r="P48" s="41">
        <f t="shared" si="11"/>
        <v>0.0019578512396694215</v>
      </c>
      <c r="Q48" s="13">
        <f t="shared" si="9"/>
        <v>5.660796143268414</v>
      </c>
      <c r="R48" s="25">
        <v>0</v>
      </c>
      <c r="S48" s="112">
        <f aca="true" t="shared" si="12" ref="S48:S53">+Q40</f>
        <v>5.233645567988759</v>
      </c>
      <c r="T48" s="112">
        <f aca="true" t="shared" si="13" ref="T48:T53">+Q47</f>
        <v>5.233645567988759</v>
      </c>
      <c r="U48" s="112">
        <f aca="true" t="shared" si="14" ref="U48:U53">+Q54</f>
        <v>5.233645567988759</v>
      </c>
      <c r="V48" s="112">
        <f aca="true" t="shared" si="15" ref="V48:V53">+Q$62</f>
        <v>6.609123916269848</v>
      </c>
    </row>
    <row r="49" spans="1:22" ht="12.75">
      <c r="A49" s="16"/>
      <c r="B49" s="16">
        <v>2</v>
      </c>
      <c r="C49" s="41">
        <f t="shared" si="10"/>
        <v>0.9865028925619835</v>
      </c>
      <c r="D49" s="41">
        <f t="shared" si="10"/>
        <v>0.0049</v>
      </c>
      <c r="E49" s="41">
        <f t="shared" si="10"/>
        <v>0.0021</v>
      </c>
      <c r="F49" s="41">
        <f t="shared" si="10"/>
        <v>0.002165702479338843</v>
      </c>
      <c r="G49" s="41">
        <f t="shared" si="10"/>
        <v>0.004331404958677686</v>
      </c>
      <c r="H49" s="13">
        <f t="shared" si="7"/>
        <v>15.136437558590009</v>
      </c>
      <c r="J49" s="16"/>
      <c r="K49" s="16"/>
      <c r="L49" s="41">
        <f t="shared" si="11"/>
        <v>0.9943014462809917</v>
      </c>
      <c r="M49" s="41">
        <f t="shared" si="11"/>
        <v>0.0007</v>
      </c>
      <c r="N49" s="41">
        <f t="shared" si="11"/>
        <v>0.0017499999999999998</v>
      </c>
      <c r="O49" s="41">
        <f t="shared" si="11"/>
        <v>0.0010828512396694216</v>
      </c>
      <c r="P49" s="41">
        <f t="shared" si="11"/>
        <v>0.002165702479338843</v>
      </c>
      <c r="Q49" s="13">
        <f t="shared" si="9"/>
        <v>6.08794671854807</v>
      </c>
      <c r="R49" s="25">
        <v>1</v>
      </c>
      <c r="S49" s="112">
        <f t="shared" si="12"/>
        <v>5.906877671333974</v>
      </c>
      <c r="T49" s="112">
        <f t="shared" si="13"/>
        <v>5.660796143268414</v>
      </c>
      <c r="U49" s="112">
        <f t="shared" si="14"/>
        <v>5.783836907301195</v>
      </c>
      <c r="V49" s="112">
        <f t="shared" si="15"/>
        <v>6.609123916269848</v>
      </c>
    </row>
    <row r="50" spans="1:22" ht="12.75">
      <c r="A50" s="16"/>
      <c r="B50" s="16">
        <v>3</v>
      </c>
      <c r="C50" s="41">
        <f t="shared" si="10"/>
        <v>0.9858793388429753</v>
      </c>
      <c r="D50" s="41">
        <f t="shared" si="10"/>
        <v>0.0049</v>
      </c>
      <c r="E50" s="41">
        <f t="shared" si="10"/>
        <v>0.0021</v>
      </c>
      <c r="F50" s="41">
        <f t="shared" si="10"/>
        <v>0.002373553719008265</v>
      </c>
      <c r="G50" s="41">
        <f t="shared" si="10"/>
        <v>0.00474710743801653</v>
      </c>
      <c r="H50" s="13">
        <f t="shared" si="7"/>
        <v>16.210559279528923</v>
      </c>
      <c r="J50" s="16"/>
      <c r="K50" s="16"/>
      <c r="L50" s="41">
        <f t="shared" si="11"/>
        <v>0.9939896694214876</v>
      </c>
      <c r="M50" s="41">
        <f t="shared" si="11"/>
        <v>0.0007</v>
      </c>
      <c r="N50" s="41">
        <f t="shared" si="11"/>
        <v>0.0017499999999999998</v>
      </c>
      <c r="O50" s="41">
        <f t="shared" si="11"/>
        <v>0.0011867768595041324</v>
      </c>
      <c r="P50" s="41">
        <f t="shared" si="11"/>
        <v>0.002373553719008265</v>
      </c>
      <c r="Q50" s="13">
        <f t="shared" si="9"/>
        <v>6.515097293827724</v>
      </c>
      <c r="R50" s="25">
        <v>2</v>
      </c>
      <c r="S50" s="112">
        <f t="shared" si="12"/>
        <v>6.58010977467919</v>
      </c>
      <c r="T50" s="112">
        <f t="shared" si="13"/>
        <v>6.08794671854807</v>
      </c>
      <c r="U50" s="112">
        <f t="shared" si="14"/>
        <v>6.334028246613629</v>
      </c>
      <c r="V50" s="112">
        <f t="shared" si="15"/>
        <v>6.609123916269848</v>
      </c>
    </row>
    <row r="51" spans="1:22" ht="12.75">
      <c r="A51" s="16"/>
      <c r="B51" s="16">
        <v>4</v>
      </c>
      <c r="C51" s="41">
        <f t="shared" si="10"/>
        <v>0.985255785123967</v>
      </c>
      <c r="D51" s="41">
        <f t="shared" si="10"/>
        <v>0.0049</v>
      </c>
      <c r="E51" s="41">
        <f t="shared" si="10"/>
        <v>0.0021</v>
      </c>
      <c r="F51" s="41">
        <f t="shared" si="10"/>
        <v>0.0025814049586776865</v>
      </c>
      <c r="G51" s="41">
        <f t="shared" si="10"/>
        <v>0.005162809917355373</v>
      </c>
      <c r="H51" s="13">
        <f t="shared" si="7"/>
        <v>17.284681000467835</v>
      </c>
      <c r="J51" s="16"/>
      <c r="K51" s="16"/>
      <c r="L51" s="41">
        <f t="shared" si="11"/>
        <v>0.9936778925619835</v>
      </c>
      <c r="M51" s="41">
        <f t="shared" si="11"/>
        <v>0.0007</v>
      </c>
      <c r="N51" s="41">
        <f t="shared" si="11"/>
        <v>0.0017499999999999998</v>
      </c>
      <c r="O51" s="41">
        <f t="shared" si="11"/>
        <v>0.0012907024793388433</v>
      </c>
      <c r="P51" s="41">
        <f t="shared" si="11"/>
        <v>0.0025814049586776865</v>
      </c>
      <c r="Q51" s="13">
        <f t="shared" si="9"/>
        <v>6.94224786910738</v>
      </c>
      <c r="R51" s="25">
        <v>3</v>
      </c>
      <c r="S51" s="112">
        <f t="shared" si="12"/>
        <v>7.253341878024404</v>
      </c>
      <c r="T51" s="112">
        <f t="shared" si="13"/>
        <v>6.515097293827724</v>
      </c>
      <c r="U51" s="112">
        <f t="shared" si="14"/>
        <v>6.884219585926064</v>
      </c>
      <c r="V51" s="112">
        <f t="shared" si="15"/>
        <v>6.609123916269848</v>
      </c>
    </row>
    <row r="52" spans="1:22" ht="12.75">
      <c r="A52" s="16"/>
      <c r="B52" s="16">
        <v>5</v>
      </c>
      <c r="C52" s="41">
        <f t="shared" si="10"/>
        <v>0.9846322314049588</v>
      </c>
      <c r="D52" s="41">
        <f t="shared" si="10"/>
        <v>0.0049</v>
      </c>
      <c r="E52" s="41">
        <f t="shared" si="10"/>
        <v>0.0021</v>
      </c>
      <c r="F52" s="41">
        <f t="shared" si="10"/>
        <v>0.002789256198347108</v>
      </c>
      <c r="G52" s="41">
        <f t="shared" si="10"/>
        <v>0.005578512396694216</v>
      </c>
      <c r="H52" s="13">
        <f t="shared" si="7"/>
        <v>18.358802721406747</v>
      </c>
      <c r="J52" s="16"/>
      <c r="K52" s="16"/>
      <c r="L52" s="41">
        <f t="shared" si="11"/>
        <v>0.9933661157024793</v>
      </c>
      <c r="M52" s="41">
        <f t="shared" si="11"/>
        <v>0.0007</v>
      </c>
      <c r="N52" s="41">
        <f t="shared" si="11"/>
        <v>0.0017499999999999998</v>
      </c>
      <c r="O52" s="41">
        <f t="shared" si="11"/>
        <v>0.001394628099173554</v>
      </c>
      <c r="P52" s="41">
        <f t="shared" si="11"/>
        <v>0.002789256198347108</v>
      </c>
      <c r="Q52" s="13">
        <f t="shared" si="9"/>
        <v>7.369398444387035</v>
      </c>
      <c r="R52" s="25">
        <v>4</v>
      </c>
      <c r="S52" s="112">
        <f t="shared" si="12"/>
        <v>7.92657398136962</v>
      </c>
      <c r="T52" s="112">
        <f t="shared" si="13"/>
        <v>6.94224786910738</v>
      </c>
      <c r="U52" s="112">
        <f t="shared" si="14"/>
        <v>7.434410925238501</v>
      </c>
      <c r="V52" s="112">
        <f t="shared" si="15"/>
        <v>6.609123916269848</v>
      </c>
    </row>
    <row r="53" spans="1:22" ht="12.75">
      <c r="A53" s="16"/>
      <c r="B53" s="16"/>
      <c r="C53" s="48"/>
      <c r="D53" s="48"/>
      <c r="E53" s="48"/>
      <c r="F53" s="48"/>
      <c r="G53" s="48"/>
      <c r="H53" s="48"/>
      <c r="J53" s="16"/>
      <c r="K53" s="16"/>
      <c r="L53" s="48"/>
      <c r="M53" s="48"/>
      <c r="N53" s="48"/>
      <c r="O53" s="48"/>
      <c r="P53" s="48"/>
      <c r="Q53" s="48"/>
      <c r="R53" s="25">
        <v>5</v>
      </c>
      <c r="S53" s="112">
        <f t="shared" si="12"/>
        <v>8.599806084714835</v>
      </c>
      <c r="T53" s="112">
        <f t="shared" si="13"/>
        <v>7.369398444387035</v>
      </c>
      <c r="U53" s="112">
        <f t="shared" si="14"/>
        <v>7.984602264550936</v>
      </c>
      <c r="V53" s="112">
        <f t="shared" si="15"/>
        <v>6.609123916269848</v>
      </c>
    </row>
    <row r="54" spans="1:17" ht="12.75">
      <c r="A54" s="16" t="s">
        <v>140</v>
      </c>
      <c r="B54" s="16">
        <v>0</v>
      </c>
      <c r="C54" s="43">
        <f>+(C40+C47)/2</f>
        <v>0.98775</v>
      </c>
      <c r="D54" s="43">
        <f>+(D40+D47)/2</f>
        <v>0.0049</v>
      </c>
      <c r="E54" s="43">
        <f>+(E40+E47)/2</f>
        <v>0.0021</v>
      </c>
      <c r="F54" s="43">
        <f>+(F40+F47)/2</f>
        <v>0.0017499999999999998</v>
      </c>
      <c r="G54" s="43">
        <f>+(G40+G47)/2</f>
        <v>0.0034999999999999996</v>
      </c>
      <c r="H54" s="13">
        <f t="shared" si="7"/>
        <v>12.98819411671218</v>
      </c>
      <c r="J54" s="16"/>
      <c r="K54" s="16"/>
      <c r="L54" s="43">
        <f aca="true" t="shared" si="16" ref="L54:P59">+(L40+L47)/2</f>
        <v>0.994925</v>
      </c>
      <c r="M54" s="43">
        <f t="shared" si="16"/>
        <v>0.0007</v>
      </c>
      <c r="N54" s="43">
        <f t="shared" si="16"/>
        <v>0.0017499999999999998</v>
      </c>
      <c r="O54" s="43">
        <f t="shared" si="16"/>
        <v>0.0008749999999999999</v>
      </c>
      <c r="P54" s="43">
        <f t="shared" si="16"/>
        <v>0.0017499999999999998</v>
      </c>
      <c r="Q54" s="13">
        <f t="shared" si="9"/>
        <v>5.233645567988759</v>
      </c>
    </row>
    <row r="55" spans="1:17" ht="12.75">
      <c r="A55" s="16"/>
      <c r="B55" s="16">
        <v>1</v>
      </c>
      <c r="C55" s="43">
        <f aca="true" t="shared" si="17" ref="C55:G59">+(C41+C48)/2</f>
        <v>0.9868037231404959</v>
      </c>
      <c r="D55" s="43">
        <f t="shared" si="17"/>
        <v>0.005002899999999999</v>
      </c>
      <c r="E55" s="43">
        <f t="shared" si="17"/>
        <v>0.0021441</v>
      </c>
      <c r="F55" s="43">
        <f t="shared" si="17"/>
        <v>0.002016425619834711</v>
      </c>
      <c r="G55" s="43">
        <f t="shared" si="17"/>
        <v>0.004032851239669422</v>
      </c>
      <c r="H55" s="13">
        <f t="shared" si="7"/>
        <v>14.375617213604379</v>
      </c>
      <c r="J55" s="16"/>
      <c r="K55" s="16"/>
      <c r="L55" s="43">
        <f t="shared" si="16"/>
        <v>0.9944739115702479</v>
      </c>
      <c r="M55" s="43">
        <f t="shared" si="16"/>
        <v>0.0007147</v>
      </c>
      <c r="N55" s="43">
        <f t="shared" si="16"/>
        <v>0.0017867499999999997</v>
      </c>
      <c r="O55" s="43">
        <f t="shared" si="16"/>
        <v>0.0010082128099173555</v>
      </c>
      <c r="P55" s="43">
        <f t="shared" si="16"/>
        <v>0.002016425619834711</v>
      </c>
      <c r="Q55" s="13">
        <f t="shared" si="9"/>
        <v>5.783836907301195</v>
      </c>
    </row>
    <row r="56" spans="1:17" ht="12.75">
      <c r="A56" s="16"/>
      <c r="B56" s="16">
        <v>2</v>
      </c>
      <c r="C56" s="43">
        <f t="shared" si="17"/>
        <v>0.9858574462809918</v>
      </c>
      <c r="D56" s="43">
        <f t="shared" si="17"/>
        <v>0.0051058</v>
      </c>
      <c r="E56" s="43">
        <f t="shared" si="17"/>
        <v>0.0021882</v>
      </c>
      <c r="F56" s="43">
        <f t="shared" si="17"/>
        <v>0.0022828512396694217</v>
      </c>
      <c r="G56" s="43">
        <f t="shared" si="17"/>
        <v>0.004565702479338843</v>
      </c>
      <c r="H56" s="13">
        <f t="shared" si="7"/>
        <v>15.763040310496574</v>
      </c>
      <c r="J56" s="16"/>
      <c r="K56" s="16"/>
      <c r="L56" s="43">
        <f t="shared" si="16"/>
        <v>0.9940228231404958</v>
      </c>
      <c r="M56" s="43">
        <f t="shared" si="16"/>
        <v>0.0007294</v>
      </c>
      <c r="N56" s="43">
        <f t="shared" si="16"/>
        <v>0.0018234999999999998</v>
      </c>
      <c r="O56" s="43">
        <f t="shared" si="16"/>
        <v>0.0011414256198347108</v>
      </c>
      <c r="P56" s="43">
        <f t="shared" si="16"/>
        <v>0.0022828512396694217</v>
      </c>
      <c r="Q56" s="13">
        <f t="shared" si="9"/>
        <v>6.334028246613629</v>
      </c>
    </row>
    <row r="57" spans="1:17" ht="12.75">
      <c r="A57" s="16"/>
      <c r="B57" s="16">
        <v>3</v>
      </c>
      <c r="C57" s="43">
        <f t="shared" si="17"/>
        <v>0.9849111694214877</v>
      </c>
      <c r="D57" s="43">
        <f t="shared" si="17"/>
        <v>0.0052087</v>
      </c>
      <c r="E57" s="43">
        <f t="shared" si="17"/>
        <v>0.0022323</v>
      </c>
      <c r="F57" s="43">
        <f t="shared" si="17"/>
        <v>0.0025492768595041324</v>
      </c>
      <c r="G57" s="43">
        <f t="shared" si="17"/>
        <v>0.005098553719008265</v>
      </c>
      <c r="H57" s="13">
        <f t="shared" si="7"/>
        <v>17.15046340738877</v>
      </c>
      <c r="J57" s="16"/>
      <c r="K57" s="16"/>
      <c r="L57" s="43">
        <f t="shared" si="16"/>
        <v>0.9935717347107438</v>
      </c>
      <c r="M57" s="43">
        <f t="shared" si="16"/>
        <v>0.0007440999999999999</v>
      </c>
      <c r="N57" s="43">
        <f t="shared" si="16"/>
        <v>0.0018602499999999997</v>
      </c>
      <c r="O57" s="43">
        <f t="shared" si="16"/>
        <v>0.0012746384297520662</v>
      </c>
      <c r="P57" s="43">
        <f t="shared" si="16"/>
        <v>0.0025492768595041324</v>
      </c>
      <c r="Q57" s="13">
        <f t="shared" si="9"/>
        <v>6.884219585926064</v>
      </c>
    </row>
    <row r="58" spans="1:17" ht="12.75">
      <c r="A58" s="16"/>
      <c r="B58" s="16">
        <v>4</v>
      </c>
      <c r="C58" s="43">
        <f t="shared" si="17"/>
        <v>0.9839648925619836</v>
      </c>
      <c r="D58" s="43">
        <f t="shared" si="17"/>
        <v>0.0053116</v>
      </c>
      <c r="E58" s="43">
        <f t="shared" si="17"/>
        <v>0.0022764</v>
      </c>
      <c r="F58" s="43">
        <f t="shared" si="17"/>
        <v>0.0028157024793388436</v>
      </c>
      <c r="G58" s="43">
        <f t="shared" si="17"/>
        <v>0.005631404958677687</v>
      </c>
      <c r="H58" s="13">
        <f t="shared" si="7"/>
        <v>18.53788650428097</v>
      </c>
      <c r="J58" s="16"/>
      <c r="K58" s="16"/>
      <c r="L58" s="43">
        <f t="shared" si="16"/>
        <v>0.9931206462809917</v>
      </c>
      <c r="M58" s="43">
        <f t="shared" si="16"/>
        <v>0.0007587999999999999</v>
      </c>
      <c r="N58" s="43">
        <f t="shared" si="16"/>
        <v>0.0018969999999999996</v>
      </c>
      <c r="O58" s="43">
        <f t="shared" si="16"/>
        <v>0.0014078512396694218</v>
      </c>
      <c r="P58" s="43">
        <f t="shared" si="16"/>
        <v>0.0028157024793388436</v>
      </c>
      <c r="Q58" s="13">
        <f t="shared" si="9"/>
        <v>7.434410925238501</v>
      </c>
    </row>
    <row r="59" spans="1:17" ht="12.75">
      <c r="A59" s="16"/>
      <c r="B59" s="16">
        <v>5</v>
      </c>
      <c r="C59" s="43">
        <f t="shared" si="17"/>
        <v>0.9830186157024795</v>
      </c>
      <c r="D59" s="43">
        <f t="shared" si="17"/>
        <v>0.005414499999999999</v>
      </c>
      <c r="E59" s="43">
        <f t="shared" si="17"/>
        <v>0.0023205</v>
      </c>
      <c r="F59" s="43">
        <f t="shared" si="17"/>
        <v>0.0030821280991735547</v>
      </c>
      <c r="G59" s="43">
        <f t="shared" si="17"/>
        <v>0.0061642561983471095</v>
      </c>
      <c r="H59" s="13">
        <f t="shared" si="7"/>
        <v>19.92530960117317</v>
      </c>
      <c r="J59" s="16"/>
      <c r="K59" s="16"/>
      <c r="L59" s="43">
        <f t="shared" si="16"/>
        <v>0.9926695578512397</v>
      </c>
      <c r="M59" s="43">
        <f t="shared" si="16"/>
        <v>0.0007734999999999999</v>
      </c>
      <c r="N59" s="43">
        <f t="shared" si="16"/>
        <v>0.0019337499999999995</v>
      </c>
      <c r="O59" s="43">
        <f t="shared" si="16"/>
        <v>0.0015410640495867774</v>
      </c>
      <c r="P59" s="43">
        <f t="shared" si="16"/>
        <v>0.0030821280991735547</v>
      </c>
      <c r="Q59" s="13">
        <f t="shared" si="9"/>
        <v>7.984602264550936</v>
      </c>
    </row>
    <row r="60" spans="1:17" ht="12.75">
      <c r="A60" s="14" t="s">
        <v>70</v>
      </c>
      <c r="B60" s="16"/>
      <c r="C60" s="71"/>
      <c r="D60" s="71"/>
      <c r="E60" s="71"/>
      <c r="F60" s="71"/>
      <c r="G60" s="71"/>
      <c r="H60" s="82"/>
      <c r="J60" s="14" t="s">
        <v>70</v>
      </c>
      <c r="K60" s="16"/>
      <c r="L60" s="71"/>
      <c r="M60" s="71"/>
      <c r="N60" s="71"/>
      <c r="O60" s="71"/>
      <c r="P60" s="71"/>
      <c r="Q60" s="72"/>
    </row>
    <row r="61" spans="1:17" ht="12.75">
      <c r="A61" s="16" t="s">
        <v>156</v>
      </c>
      <c r="B61" s="16" t="s">
        <v>62</v>
      </c>
      <c r="C61" s="41">
        <f>+((C54+C55)/2+(C55+C56)/2+(C56+C57)/2+(C57+C58)/2+(C58+C59)/2)/5</f>
        <v>0.9853843078512398</v>
      </c>
      <c r="D61" s="41">
        <f>+((D54+D55)/2+(D55+D56)/2+(D56+D57)/2+(D57+D58)/2+(D58+D59)/2)/5</f>
        <v>0.0051572499999999995</v>
      </c>
      <c r="E61" s="41">
        <f>+((E54+E55)/2+(E55+E56)/2+(E56+E57)/2+(E57+E58)/2+(E58+E59)/2)/5</f>
        <v>0.00221025</v>
      </c>
      <c r="F61" s="41">
        <f>+((F54+F55)/2+(F55+F56)/2+(F56+F57)/2+(F57+F58)/2+(F58+F59)/2)/5</f>
        <v>0.0024160640495867773</v>
      </c>
      <c r="G61" s="41">
        <f>+((G54+G55)/2+(G55+G56)/2+(G56+G57)/2+(G57+G58)/2+(G58+G59)/2)/5</f>
        <v>0.0048321280991735546</v>
      </c>
      <c r="H61" s="41">
        <f>SUM(C61:G61)</f>
        <v>1.0000000000000002</v>
      </c>
      <c r="J61" s="16" t="s">
        <v>156</v>
      </c>
      <c r="K61" s="16" t="s">
        <v>62</v>
      </c>
      <c r="L61" s="41">
        <f>+((L54+L55)/2+(L55+L56)/2+(L56+L57)/2+(L57+L58)/2+(L58+L59)/2)/5</f>
        <v>0.9937972789256199</v>
      </c>
      <c r="M61" s="41">
        <f>+((M54+M55)/2+(M55+M56)/2+(M56+M57)/2+(M57+M58)/2+(M58+M59)/2)/5</f>
        <v>0.0007367499999999999</v>
      </c>
      <c r="N61" s="41">
        <f>+((N54+N55)/2+(N55+N56)/2+(N56+N57)/2+(N57+N58)/2+(N58+N59)/2)/5</f>
        <v>0.0018418749999999998</v>
      </c>
      <c r="O61" s="41">
        <f>+((O54+O55)/2+(O55+O56)/2+(O56+O57)/2+(O57+O58)/2+(O58+O59)/2)/5</f>
        <v>0.0012080320247933886</v>
      </c>
      <c r="P61" s="41">
        <f>+((P54+P55)/2+(P55+P56)/2+(P56+P57)/2+(P57+P58)/2+(P58+P59)/2)/5</f>
        <v>0.0024160640495867773</v>
      </c>
      <c r="Q61" s="41">
        <f>SUM(L61:P61)</f>
        <v>1</v>
      </c>
    </row>
    <row r="62" spans="1:17" ht="12.75">
      <c r="A62" s="34" t="s">
        <v>106</v>
      </c>
      <c r="B62" s="34" t="s">
        <v>61</v>
      </c>
      <c r="C62" s="45">
        <f>+C61*C17</f>
        <v>3.389416136774292</v>
      </c>
      <c r="D62" s="45">
        <f>+D61*D17</f>
        <v>0.317739686610605</v>
      </c>
      <c r="E62" s="45">
        <f>+E61*E17</f>
        <v>0.23906721405774697</v>
      </c>
      <c r="F62" s="45">
        <f>+F61*F17</f>
        <v>1.3942181293512688</v>
      </c>
      <c r="G62" s="45">
        <f>+G61*G17</f>
        <v>11.116310692148762</v>
      </c>
      <c r="H62" s="45">
        <f>SUM(C62:G62)</f>
        <v>16.456751858942674</v>
      </c>
      <c r="J62" s="34" t="s">
        <v>106</v>
      </c>
      <c r="K62" s="34" t="s">
        <v>61</v>
      </c>
      <c r="L62" s="45">
        <f>+L61*L17</f>
        <v>1.500946383602625</v>
      </c>
      <c r="M62" s="45">
        <f>+M61*M17</f>
        <v>0.023087172376325814</v>
      </c>
      <c r="N62" s="45">
        <f>+N61*N17</f>
        <v>0.11441600097911786</v>
      </c>
      <c r="O62" s="45">
        <f>+O61*O17</f>
        <v>0.39948117749359624</v>
      </c>
      <c r="P62" s="45">
        <f>+P61*P17</f>
        <v>4.571193181818183</v>
      </c>
      <c r="Q62" s="45">
        <f>SUM(L62:P62)</f>
        <v>6.609123916269848</v>
      </c>
    </row>
    <row r="65" spans="5:7" ht="12.75">
      <c r="E65" s="25" t="s">
        <v>44</v>
      </c>
      <c r="F65" s="118">
        <f>+'PMC 01'!F65</f>
        <v>24.3</v>
      </c>
      <c r="G65" s="25" t="s">
        <v>31</v>
      </c>
    </row>
    <row r="66" spans="5:7" ht="12.75">
      <c r="E66" s="25" t="s">
        <v>112</v>
      </c>
      <c r="F66" s="118">
        <f>+'PMC 01'!F66</f>
        <v>24.3</v>
      </c>
      <c r="G66" s="25" t="s">
        <v>31</v>
      </c>
    </row>
    <row r="67" spans="4:15" ht="12.75">
      <c r="D67" s="25" t="s">
        <v>28</v>
      </c>
      <c r="E67" s="25" t="s">
        <v>29</v>
      </c>
      <c r="F67" s="25" t="s">
        <v>30</v>
      </c>
      <c r="M67" s="25" t="s">
        <v>28</v>
      </c>
      <c r="N67" s="25" t="s">
        <v>29</v>
      </c>
      <c r="O67" s="25" t="s">
        <v>30</v>
      </c>
    </row>
    <row r="68" spans="2:15" ht="12.75">
      <c r="B68" s="26" t="s">
        <v>24</v>
      </c>
      <c r="C68" s="118">
        <f>+'PMC 01'!C68</f>
        <v>2</v>
      </c>
      <c r="D68" s="118">
        <f>+'PMC 01'!D68</f>
        <v>50</v>
      </c>
      <c r="E68" s="118">
        <f>+'PMC 01'!E68</f>
        <v>50</v>
      </c>
      <c r="F68" s="50">
        <f>+C68*E68/100/F$65</f>
        <v>0.0411522633744856</v>
      </c>
      <c r="K68" s="26" t="s">
        <v>24</v>
      </c>
      <c r="L68" s="118">
        <f>+'PMC 01'!L68</f>
        <v>2</v>
      </c>
      <c r="M68" s="118">
        <f>+'PMC 01'!M68</f>
        <v>50</v>
      </c>
      <c r="N68" s="118">
        <f>+'PMC 01'!N68</f>
        <v>50</v>
      </c>
      <c r="O68" s="50">
        <f>+L68*N68/100/F$65</f>
        <v>0.0411522633744856</v>
      </c>
    </row>
    <row r="69" spans="2:15" ht="12.75">
      <c r="B69" s="26" t="s">
        <v>5</v>
      </c>
      <c r="C69" s="118">
        <f>+'PMC 01'!C69</f>
        <v>5</v>
      </c>
      <c r="D69" s="118">
        <f>+'PMC 01'!D69</f>
        <v>0</v>
      </c>
      <c r="E69" s="118">
        <f>+'PMC 01'!E69</f>
        <v>100</v>
      </c>
      <c r="F69" s="50">
        <f>+C69*E69/100/F$65</f>
        <v>0.205761316872428</v>
      </c>
      <c r="K69" s="26" t="s">
        <v>5</v>
      </c>
      <c r="L69" s="118">
        <f>+'PMC 01'!L69</f>
        <v>5</v>
      </c>
      <c r="M69" s="118">
        <f>+'PMC 01'!M69</f>
        <v>0</v>
      </c>
      <c r="N69" s="118">
        <f>+'PMC 01'!N69</f>
        <v>100</v>
      </c>
      <c r="O69" s="51">
        <f>+L69*N69/100/F$65</f>
        <v>0.205761316872428</v>
      </c>
    </row>
    <row r="70" spans="2:15" ht="12.75">
      <c r="B70" s="25" t="s">
        <v>26</v>
      </c>
      <c r="C70" s="118">
        <f>+'PMC 01'!C70</f>
        <v>20</v>
      </c>
      <c r="D70" s="118">
        <f>+'PMC 01'!D70</f>
        <v>0</v>
      </c>
      <c r="E70" s="118">
        <f>+'PMC 01'!E70</f>
        <v>100</v>
      </c>
      <c r="F70" s="50">
        <f>+C70*E70/100/F$65</f>
        <v>0.823045267489712</v>
      </c>
      <c r="K70" s="25" t="s">
        <v>26</v>
      </c>
      <c r="L70" s="118">
        <f>+'PMC 01'!L70</f>
        <v>20</v>
      </c>
      <c r="M70" s="118">
        <f>+'PMC 01'!M70</f>
        <v>0</v>
      </c>
      <c r="N70" s="118">
        <f>+'PMC 01'!N70</f>
        <v>100</v>
      </c>
      <c r="O70" s="51">
        <f>+L70*N70/100/F$65</f>
        <v>0.823045267489712</v>
      </c>
    </row>
    <row r="71" spans="2:15" ht="12.75">
      <c r="B71" s="25" t="s">
        <v>25</v>
      </c>
      <c r="C71" s="118">
        <f>+'PMC 01'!C71</f>
        <v>200</v>
      </c>
      <c r="D71" s="118">
        <f>+'PMC 01'!D71</f>
        <v>50</v>
      </c>
      <c r="E71" s="118">
        <f>+'PMC 01'!E71</f>
        <v>50</v>
      </c>
      <c r="F71" s="50">
        <f>+C71*E71/100/F$65</f>
        <v>4.11522633744856</v>
      </c>
      <c r="K71" s="25" t="s">
        <v>25</v>
      </c>
      <c r="L71" s="118">
        <f>+'PMC 01'!L71</f>
        <v>200</v>
      </c>
      <c r="M71" s="118">
        <f>+'PMC 01'!M71</f>
        <v>50</v>
      </c>
      <c r="N71" s="118">
        <f>+'PMC 01'!N71</f>
        <v>50</v>
      </c>
      <c r="O71" s="51">
        <f>+L71*N71/100/F$65</f>
        <v>4.11522633744856</v>
      </c>
    </row>
    <row r="72" spans="2:15" ht="12.75">
      <c r="B72" s="25" t="s">
        <v>27</v>
      </c>
      <c r="C72" s="118">
        <f>+'PMC 01'!C72</f>
        <v>2000</v>
      </c>
      <c r="D72" s="118">
        <f>+'PMC 01'!D72</f>
        <v>50</v>
      </c>
      <c r="E72" s="118">
        <f>+'PMC 01'!E72</f>
        <v>50</v>
      </c>
      <c r="F72" s="51">
        <f>+C72*E72/100/F$65</f>
        <v>41.15226337448559</v>
      </c>
      <c r="K72" s="25" t="s">
        <v>53</v>
      </c>
      <c r="L72" s="118">
        <f>+'PMC 01'!L72</f>
        <v>2000</v>
      </c>
      <c r="M72" s="118">
        <f>+'PMC 01'!M72</f>
        <v>50</v>
      </c>
      <c r="N72" s="118">
        <f>+'PMC 01'!N72</f>
        <v>50</v>
      </c>
      <c r="O72" s="51">
        <f>+L72*N72/100/F$65</f>
        <v>41.15226337448559</v>
      </c>
    </row>
    <row r="75" spans="1:15" ht="12.75">
      <c r="A75" s="1" t="s">
        <v>35</v>
      </c>
      <c r="C75" s="25" t="s">
        <v>109</v>
      </c>
      <c r="D75" s="25" t="s">
        <v>110</v>
      </c>
      <c r="E75" s="25" t="s">
        <v>111</v>
      </c>
      <c r="F75" s="1" t="s">
        <v>21</v>
      </c>
      <c r="J75" s="1" t="s">
        <v>35</v>
      </c>
      <c r="L75" s="25" t="s">
        <v>109</v>
      </c>
      <c r="M75" s="25" t="s">
        <v>110</v>
      </c>
      <c r="N75" s="25" t="s">
        <v>111</v>
      </c>
      <c r="O75" s="1" t="s">
        <v>21</v>
      </c>
    </row>
    <row r="76" spans="1:15" ht="12.75">
      <c r="A76" s="25" t="s">
        <v>1</v>
      </c>
      <c r="B76" s="25" t="s">
        <v>0</v>
      </c>
      <c r="C76" s="52">
        <f>+C68*D68/100</f>
        <v>1</v>
      </c>
      <c r="D76" s="53">
        <f>+F68</f>
        <v>0.0411522633744856</v>
      </c>
      <c r="E76" s="84">
        <f>+D76*F$66</f>
        <v>1</v>
      </c>
      <c r="F76" s="3">
        <f>+E76+C76</f>
        <v>2</v>
      </c>
      <c r="J76" s="25" t="s">
        <v>1</v>
      </c>
      <c r="K76" s="25" t="s">
        <v>0</v>
      </c>
      <c r="L76" s="52">
        <f>+L68*M68/100</f>
        <v>1</v>
      </c>
      <c r="M76" s="53">
        <f>+O68</f>
        <v>0.0411522633744856</v>
      </c>
      <c r="N76" s="84">
        <f>+M76*F$66</f>
        <v>1</v>
      </c>
      <c r="O76" s="3">
        <f>+N76+L76</f>
        <v>2</v>
      </c>
    </row>
    <row r="77" spans="1:15" ht="12.75">
      <c r="A77" s="25" t="s">
        <v>5</v>
      </c>
      <c r="B77" s="25" t="s">
        <v>0</v>
      </c>
      <c r="C77" s="52">
        <f>+C69*D69/100</f>
        <v>0</v>
      </c>
      <c r="D77" s="53">
        <f>+F69</f>
        <v>0.205761316872428</v>
      </c>
      <c r="E77" s="84">
        <f>+D77*F$66</f>
        <v>5</v>
      </c>
      <c r="F77" s="3">
        <f>+E77+C77</f>
        <v>5</v>
      </c>
      <c r="J77" s="25" t="s">
        <v>5</v>
      </c>
      <c r="K77" s="25" t="s">
        <v>0</v>
      </c>
      <c r="L77" s="52">
        <f>+L69*M69/100</f>
        <v>0</v>
      </c>
      <c r="M77" s="53">
        <f>+O69</f>
        <v>0.205761316872428</v>
      </c>
      <c r="N77" s="84">
        <f>+M77*F$66</f>
        <v>5</v>
      </c>
      <c r="O77" s="3">
        <f>+N77+L77</f>
        <v>5</v>
      </c>
    </row>
    <row r="78" spans="1:15" ht="12.75">
      <c r="A78" s="25" t="s">
        <v>10</v>
      </c>
      <c r="B78" s="25" t="s">
        <v>0</v>
      </c>
      <c r="C78" s="52">
        <f>+C70*D70/100</f>
        <v>0</v>
      </c>
      <c r="D78" s="53">
        <f>+F70</f>
        <v>0.823045267489712</v>
      </c>
      <c r="E78" s="84">
        <f>+D78*F$66</f>
        <v>20</v>
      </c>
      <c r="F78" s="3">
        <f>+E78+C78</f>
        <v>20</v>
      </c>
      <c r="J78" s="25" t="s">
        <v>10</v>
      </c>
      <c r="K78" s="25" t="s">
        <v>0</v>
      </c>
      <c r="L78" s="52">
        <f>+L70*M70/100</f>
        <v>0</v>
      </c>
      <c r="M78" s="53">
        <f>+O70</f>
        <v>0.823045267489712</v>
      </c>
      <c r="N78" s="84">
        <f>+M78*F$66</f>
        <v>20</v>
      </c>
      <c r="O78" s="3">
        <f>+N78+L78</f>
        <v>20</v>
      </c>
    </row>
    <row r="79" spans="1:15" ht="12.75">
      <c r="A79" s="25" t="s">
        <v>38</v>
      </c>
      <c r="B79" s="25" t="s">
        <v>0</v>
      </c>
      <c r="C79" s="52">
        <f>+C71*D71/100</f>
        <v>100</v>
      </c>
      <c r="D79" s="53">
        <f>+F71</f>
        <v>4.11522633744856</v>
      </c>
      <c r="E79" s="84">
        <f>+D79*F$66</f>
        <v>100</v>
      </c>
      <c r="F79" s="3">
        <f>+E79+C79</f>
        <v>200</v>
      </c>
      <c r="J79" s="25" t="s">
        <v>38</v>
      </c>
      <c r="K79" s="25" t="s">
        <v>0</v>
      </c>
      <c r="L79" s="52">
        <f>+L71*M71/100</f>
        <v>100</v>
      </c>
      <c r="M79" s="53">
        <f>+O71</f>
        <v>4.11522633744856</v>
      </c>
      <c r="N79" s="84">
        <f>+M79*F$66</f>
        <v>100</v>
      </c>
      <c r="O79" s="3">
        <f>+N79+L79</f>
        <v>200</v>
      </c>
    </row>
    <row r="80" spans="1:15" ht="12.75">
      <c r="A80" s="25" t="s">
        <v>53</v>
      </c>
      <c r="B80" s="25" t="s">
        <v>0</v>
      </c>
      <c r="C80" s="52">
        <f>+C72*D72/100</f>
        <v>1000</v>
      </c>
      <c r="D80" s="53">
        <f>+F72</f>
        <v>41.15226337448559</v>
      </c>
      <c r="E80" s="84">
        <f>+D80*F$66</f>
        <v>999.9999999999999</v>
      </c>
      <c r="F80" s="3">
        <f>+E80+C80</f>
        <v>2000</v>
      </c>
      <c r="J80" s="25" t="s">
        <v>53</v>
      </c>
      <c r="K80" s="25" t="s">
        <v>0</v>
      </c>
      <c r="L80" s="52">
        <f>+L72*M72/100</f>
        <v>1000</v>
      </c>
      <c r="M80" s="53">
        <f>+O72</f>
        <v>41.15226337448559</v>
      </c>
      <c r="N80" s="84">
        <f>+M80*F$66</f>
        <v>999.9999999999999</v>
      </c>
      <c r="O80" s="3">
        <f>+N80+L80</f>
        <v>2000</v>
      </c>
    </row>
    <row r="84" ht="12.75">
      <c r="A84" s="1" t="s">
        <v>182</v>
      </c>
    </row>
    <row r="85" spans="1:3" ht="12.75">
      <c r="A85" s="25" t="s">
        <v>193</v>
      </c>
      <c r="B85" s="147">
        <f>+'PMC 01'!B85</f>
        <v>400</v>
      </c>
      <c r="C85" s="26" t="s">
        <v>178</v>
      </c>
    </row>
    <row r="86" spans="1:3" ht="12.75">
      <c r="A86" s="25" t="s">
        <v>71</v>
      </c>
      <c r="B86" s="151">
        <f>+'PMC 01'!B86</f>
        <v>230.16167553565288</v>
      </c>
      <c r="C86" s="26" t="s">
        <v>181</v>
      </c>
    </row>
    <row r="87" ht="12.75">
      <c r="A87" s="25" t="s">
        <v>23</v>
      </c>
    </row>
    <row r="88" spans="1:3" ht="12.75">
      <c r="A88" s="25" t="s">
        <v>124</v>
      </c>
      <c r="B88" s="147">
        <f>+'PMC 01'!B88</f>
        <v>12000</v>
      </c>
      <c r="C88" s="25" t="s">
        <v>72</v>
      </c>
    </row>
    <row r="89" spans="1:2" ht="12.75" customHeight="1">
      <c r="A89" s="25" t="s">
        <v>73</v>
      </c>
      <c r="B89" s="148">
        <f>+'PMC 01'!B89</f>
        <v>0.2</v>
      </c>
    </row>
    <row r="90" spans="1:4" ht="12.75" customHeight="1">
      <c r="A90" s="25" t="s">
        <v>74</v>
      </c>
      <c r="B90" s="148">
        <f>+'PMC 01'!B90</f>
        <v>0.4</v>
      </c>
      <c r="C90" s="147">
        <f>+'PMC 01'!C90</f>
        <v>3840</v>
      </c>
      <c r="D90" s="25" t="s">
        <v>78</v>
      </c>
    </row>
    <row r="91" spans="1:4" ht="12.75" customHeight="1">
      <c r="A91" s="25" t="s">
        <v>75</v>
      </c>
      <c r="B91" s="148">
        <f>+'PMC 01'!B91</f>
        <v>0.6</v>
      </c>
      <c r="C91" s="147">
        <f>+'PMC 01'!C91</f>
        <v>5760</v>
      </c>
      <c r="D91" s="25" t="s">
        <v>78</v>
      </c>
    </row>
    <row r="92" ht="12.75" customHeight="1"/>
    <row r="93" spans="1:18" ht="12.75" customHeight="1">
      <c r="A93" s="16"/>
      <c r="B93" s="55"/>
      <c r="C93" s="27" t="s">
        <v>51</v>
      </c>
      <c r="D93" s="27" t="s">
        <v>58</v>
      </c>
      <c r="E93" s="27" t="s">
        <v>59</v>
      </c>
      <c r="F93" s="27" t="s">
        <v>108</v>
      </c>
      <c r="G93" s="27" t="s">
        <v>52</v>
      </c>
      <c r="H93" s="39" t="s">
        <v>6</v>
      </c>
      <c r="J93" s="16"/>
      <c r="K93" s="55"/>
      <c r="L93" s="27" t="s">
        <v>51</v>
      </c>
      <c r="M93" s="27" t="s">
        <v>58</v>
      </c>
      <c r="N93" s="27" t="s">
        <v>59</v>
      </c>
      <c r="O93" s="27" t="s">
        <v>60</v>
      </c>
      <c r="P93" s="27" t="s">
        <v>52</v>
      </c>
      <c r="Q93" s="39" t="s">
        <v>6</v>
      </c>
      <c r="R93" s="39" t="s">
        <v>91</v>
      </c>
    </row>
    <row r="94" spans="1:18" ht="12.75" customHeight="1">
      <c r="A94" s="14" t="s">
        <v>79</v>
      </c>
      <c r="B94" s="55"/>
      <c r="C94" s="27"/>
      <c r="D94" s="27"/>
      <c r="E94" s="27"/>
      <c r="F94" s="27"/>
      <c r="G94" s="27"/>
      <c r="H94" s="39"/>
      <c r="J94" s="14" t="s">
        <v>79</v>
      </c>
      <c r="K94" s="55"/>
      <c r="L94" s="27"/>
      <c r="M94" s="27"/>
      <c r="N94" s="27"/>
      <c r="O94" s="27"/>
      <c r="P94" s="27"/>
      <c r="Q94" s="39"/>
      <c r="R94" s="16"/>
    </row>
    <row r="95" spans="1:18" ht="12.75" customHeight="1">
      <c r="A95" s="15" t="s">
        <v>2</v>
      </c>
      <c r="B95" s="55"/>
      <c r="C95" s="27"/>
      <c r="D95" s="27"/>
      <c r="E95" s="27"/>
      <c r="F95" s="27"/>
      <c r="G95" s="27"/>
      <c r="H95" s="39"/>
      <c r="J95" s="15" t="s">
        <v>2</v>
      </c>
      <c r="K95" s="55"/>
      <c r="L95" s="27"/>
      <c r="M95" s="27"/>
      <c r="N95" s="27"/>
      <c r="O95" s="27"/>
      <c r="P95" s="27"/>
      <c r="Q95" s="39"/>
      <c r="R95" s="16"/>
    </row>
    <row r="96" spans="1:18" ht="12.75" customHeight="1">
      <c r="A96" s="16" t="s">
        <v>76</v>
      </c>
      <c r="B96" s="16" t="s">
        <v>3</v>
      </c>
      <c r="C96" s="56">
        <f>+$C$90*C24*$C$76</f>
        <v>3744</v>
      </c>
      <c r="D96" s="56">
        <f>+$C$90*D24*$C$76</f>
        <v>26.88</v>
      </c>
      <c r="E96" s="56">
        <f>+$C$90*E24*$C$76</f>
        <v>11.52</v>
      </c>
      <c r="F96" s="56">
        <f>+$C$90*F24*$C$76</f>
        <v>19.2</v>
      </c>
      <c r="G96" s="56">
        <f>+$C$90*G24*$C$76</f>
        <v>38.4</v>
      </c>
      <c r="H96" s="57">
        <f>SUM(C96:G96)</f>
        <v>3840</v>
      </c>
      <c r="J96" s="16" t="s">
        <v>76</v>
      </c>
      <c r="K96" s="16" t="s">
        <v>3</v>
      </c>
      <c r="L96" s="56">
        <f>+$C$91*L24*$L$76</f>
        <v>5696.64</v>
      </c>
      <c r="M96" s="56">
        <f>+$C$91*M24*$L$76</f>
        <v>5.76</v>
      </c>
      <c r="N96" s="56">
        <f>+$C$91*N24*$L$76</f>
        <v>14.4</v>
      </c>
      <c r="O96" s="56">
        <f>+$C$91*O24*$L$76</f>
        <v>14.4</v>
      </c>
      <c r="P96" s="56">
        <f>+$C$91*P24*$L$76</f>
        <v>28.8</v>
      </c>
      <c r="Q96" s="57">
        <f>SUM(L96:P96)</f>
        <v>5760</v>
      </c>
      <c r="R96" s="57">
        <f>+Q96+H96</f>
        <v>9600</v>
      </c>
    </row>
    <row r="97" spans="1:18" ht="12.75" customHeight="1">
      <c r="A97" s="17" t="s">
        <v>77</v>
      </c>
      <c r="B97" s="16" t="s">
        <v>3</v>
      </c>
      <c r="C97" s="56">
        <f>+$C$90*C24*$E$76</f>
        <v>3744</v>
      </c>
      <c r="D97" s="56">
        <f>+$C$90*D24*$E$76</f>
        <v>26.88</v>
      </c>
      <c r="E97" s="56">
        <f>+$C$90*E24*$E$76</f>
        <v>11.52</v>
      </c>
      <c r="F97" s="56">
        <f>+$C$90*F24*$E$76</f>
        <v>19.2</v>
      </c>
      <c r="G97" s="56">
        <f>+$C$90*G24*$E$76</f>
        <v>38.4</v>
      </c>
      <c r="H97" s="57">
        <f aca="true" t="shared" si="18" ref="H97:H117">SUM(C97:G97)</f>
        <v>3840</v>
      </c>
      <c r="J97" s="17" t="s">
        <v>77</v>
      </c>
      <c r="K97" s="16" t="s">
        <v>3</v>
      </c>
      <c r="L97" s="56">
        <f>+$C$91*L24*$N$76</f>
        <v>5696.64</v>
      </c>
      <c r="M97" s="56">
        <f>+$C$91*M24*$N$76</f>
        <v>5.76</v>
      </c>
      <c r="N97" s="56">
        <f>+$C$91*N24*$N$76</f>
        <v>14.4</v>
      </c>
      <c r="O97" s="56">
        <f>+$C$91*O24*$N$76</f>
        <v>14.4</v>
      </c>
      <c r="P97" s="56">
        <f>+$C$91*P24*$N$76</f>
        <v>28.8</v>
      </c>
      <c r="Q97" s="57">
        <f>SUM(L97:P97)</f>
        <v>5760</v>
      </c>
      <c r="R97" s="57">
        <f aca="true" t="shared" si="19" ref="R97:R140">+Q97+H97</f>
        <v>9600</v>
      </c>
    </row>
    <row r="98" spans="1:18" ht="12.75" customHeight="1">
      <c r="A98" s="18" t="s">
        <v>54</v>
      </c>
      <c r="B98" s="16" t="s">
        <v>3</v>
      </c>
      <c r="C98" s="19">
        <f>SUM(C96:C97)</f>
        <v>7488</v>
      </c>
      <c r="D98" s="19">
        <f>SUM(D96:D97)</f>
        <v>53.76</v>
      </c>
      <c r="E98" s="19">
        <f>SUM(E96:E97)</f>
        <v>23.04</v>
      </c>
      <c r="F98" s="19">
        <f>SUM(F96:F97)</f>
        <v>38.4</v>
      </c>
      <c r="G98" s="19">
        <f>SUM(G96:G97)</f>
        <v>76.8</v>
      </c>
      <c r="H98" s="20">
        <f t="shared" si="18"/>
        <v>7680</v>
      </c>
      <c r="J98" s="18" t="s">
        <v>54</v>
      </c>
      <c r="K98" s="16" t="s">
        <v>3</v>
      </c>
      <c r="L98" s="19">
        <f>SUM(L96:L97)</f>
        <v>11393.28</v>
      </c>
      <c r="M98" s="19">
        <f>SUM(M96:M97)</f>
        <v>11.52</v>
      </c>
      <c r="N98" s="19">
        <f>SUM(N96:N97)</f>
        <v>28.8</v>
      </c>
      <c r="O98" s="19">
        <f>SUM(O96:O97)</f>
        <v>28.8</v>
      </c>
      <c r="P98" s="19">
        <f>SUM(P96:P97)</f>
        <v>57.6</v>
      </c>
      <c r="Q98" s="20">
        <f>SUM(L98:P98)</f>
        <v>11520</v>
      </c>
      <c r="R98" s="20">
        <f t="shared" si="19"/>
        <v>19200</v>
      </c>
    </row>
    <row r="99" spans="1:18" ht="12.75" customHeight="1">
      <c r="A99" s="15" t="s">
        <v>12</v>
      </c>
      <c r="B99" s="16"/>
      <c r="C99" s="19"/>
      <c r="D99" s="19"/>
      <c r="E99" s="19"/>
      <c r="F99" s="19"/>
      <c r="G99" s="19"/>
      <c r="H99" s="20"/>
      <c r="J99" s="15" t="s">
        <v>12</v>
      </c>
      <c r="K99" s="16"/>
      <c r="L99" s="19"/>
      <c r="M99" s="19"/>
      <c r="N99" s="19"/>
      <c r="O99" s="19"/>
      <c r="P99" s="19"/>
      <c r="Q99" s="20"/>
      <c r="R99" s="57"/>
    </row>
    <row r="100" spans="1:18" ht="12.75" customHeight="1">
      <c r="A100" s="16" t="s">
        <v>76</v>
      </c>
      <c r="B100" s="34" t="s">
        <v>11</v>
      </c>
      <c r="C100" s="56">
        <f>+$C$90*$C$77*C24</f>
        <v>0</v>
      </c>
      <c r="D100" s="56">
        <f>+$C$90*$C$77*D24</f>
        <v>0</v>
      </c>
      <c r="E100" s="56">
        <f>+$C$90*$C$77*E24</f>
        <v>0</v>
      </c>
      <c r="F100" s="56">
        <f>+$C$90*$C$77*F24</f>
        <v>0</v>
      </c>
      <c r="G100" s="56">
        <f>+$C$90*$C$77*G24</f>
        <v>0</v>
      </c>
      <c r="H100" s="57">
        <f t="shared" si="18"/>
        <v>0</v>
      </c>
      <c r="J100" s="16" t="s">
        <v>76</v>
      </c>
      <c r="K100" s="34" t="s">
        <v>11</v>
      </c>
      <c r="L100" s="56">
        <f>+$C$91*$L$77*L24</f>
        <v>0</v>
      </c>
      <c r="M100" s="56">
        <f>+$C$91*$L$77*M24</f>
        <v>0</v>
      </c>
      <c r="N100" s="56">
        <f>+$C$91*$L$77*N24</f>
        <v>0</v>
      </c>
      <c r="O100" s="56">
        <f>+$C$91*$L$77*O24</f>
        <v>0</v>
      </c>
      <c r="P100" s="56">
        <f>+$C$91*$L$77*P24</f>
        <v>0</v>
      </c>
      <c r="Q100" s="57">
        <f>SUM(L100:P100)</f>
        <v>0</v>
      </c>
      <c r="R100" s="57">
        <f t="shared" si="19"/>
        <v>0</v>
      </c>
    </row>
    <row r="101" spans="1:18" ht="12.75" customHeight="1">
      <c r="A101" s="17" t="s">
        <v>77</v>
      </c>
      <c r="B101" s="34" t="s">
        <v>11</v>
      </c>
      <c r="C101" s="56">
        <f>+$C$90*$E$77*C24</f>
        <v>18720</v>
      </c>
      <c r="D101" s="56">
        <f>+$C$90*$E$77*D24</f>
        <v>134.4</v>
      </c>
      <c r="E101" s="56">
        <f>+$C$90*$E$77*E24</f>
        <v>57.6</v>
      </c>
      <c r="F101" s="56">
        <f>+$C$90*$E$77*F24</f>
        <v>96</v>
      </c>
      <c r="G101" s="56">
        <f>+$C$90*$E$77*G24</f>
        <v>192</v>
      </c>
      <c r="H101" s="57">
        <f t="shared" si="18"/>
        <v>19200</v>
      </c>
      <c r="J101" s="17" t="s">
        <v>77</v>
      </c>
      <c r="K101" s="34" t="s">
        <v>11</v>
      </c>
      <c r="L101" s="56">
        <f>+$C$91*$N$77*L24</f>
        <v>28483.2</v>
      </c>
      <c r="M101" s="56">
        <f>+$C$91*$N$77*M24</f>
        <v>28.8</v>
      </c>
      <c r="N101" s="56">
        <f>+$C$91*$N$77*N24</f>
        <v>72</v>
      </c>
      <c r="O101" s="56">
        <f>+$C$91*$N$77*O24</f>
        <v>72</v>
      </c>
      <c r="P101" s="56">
        <f>+$C$91*$N$77*P24</f>
        <v>144</v>
      </c>
      <c r="Q101" s="57">
        <f>SUM(L101:P101)</f>
        <v>28800</v>
      </c>
      <c r="R101" s="57">
        <f t="shared" si="19"/>
        <v>48000</v>
      </c>
    </row>
    <row r="102" spans="1:18" ht="12.75" customHeight="1">
      <c r="A102" s="18" t="s">
        <v>55</v>
      </c>
      <c r="B102" s="34" t="s">
        <v>11</v>
      </c>
      <c r="C102" s="19">
        <f>SUM(C100:C101)</f>
        <v>18720</v>
      </c>
      <c r="D102" s="19">
        <f>SUM(D100:D101)</f>
        <v>134.4</v>
      </c>
      <c r="E102" s="19">
        <f>SUM(E100:E101)</f>
        <v>57.6</v>
      </c>
      <c r="F102" s="19">
        <f>SUM(F100:F101)</f>
        <v>96</v>
      </c>
      <c r="G102" s="19">
        <f>SUM(G100:G101)</f>
        <v>192</v>
      </c>
      <c r="H102" s="20">
        <f t="shared" si="18"/>
        <v>19200</v>
      </c>
      <c r="J102" s="18" t="s">
        <v>55</v>
      </c>
      <c r="K102" s="34" t="s">
        <v>11</v>
      </c>
      <c r="L102" s="19">
        <f>SUM(L100:L101)</f>
        <v>28483.2</v>
      </c>
      <c r="M102" s="19">
        <f>SUM(M100:M101)</f>
        <v>28.8</v>
      </c>
      <c r="N102" s="19">
        <f>SUM(N100:N101)</f>
        <v>72</v>
      </c>
      <c r="O102" s="19">
        <f>SUM(O100:O101)</f>
        <v>72</v>
      </c>
      <c r="P102" s="19">
        <f>SUM(P100:P101)</f>
        <v>144</v>
      </c>
      <c r="Q102" s="20">
        <f>SUM(L102:P102)</f>
        <v>28800</v>
      </c>
      <c r="R102" s="20">
        <f t="shared" si="19"/>
        <v>48000</v>
      </c>
    </row>
    <row r="103" spans="1:18" ht="12.75" customHeight="1">
      <c r="A103" s="15" t="s">
        <v>146</v>
      </c>
      <c r="B103" s="34"/>
      <c r="C103" s="19"/>
      <c r="D103" s="19"/>
      <c r="E103" s="19"/>
      <c r="F103" s="19"/>
      <c r="G103" s="19"/>
      <c r="H103" s="20"/>
      <c r="J103" s="15" t="s">
        <v>146</v>
      </c>
      <c r="K103" s="34"/>
      <c r="L103" s="19"/>
      <c r="M103" s="19"/>
      <c r="N103" s="19"/>
      <c r="O103" s="19"/>
      <c r="P103" s="19"/>
      <c r="Q103" s="20"/>
      <c r="R103" s="57"/>
    </row>
    <row r="104" spans="1:18" ht="12.75" customHeight="1">
      <c r="A104" s="16" t="s">
        <v>76</v>
      </c>
      <c r="B104" s="34" t="s">
        <v>15</v>
      </c>
      <c r="C104" s="56"/>
      <c r="D104" s="56">
        <f>+$C$90*D24*$C$78</f>
        <v>0</v>
      </c>
      <c r="E104" s="56">
        <f>+$C$90*E24*$C$78</f>
        <v>0</v>
      </c>
      <c r="F104" s="56">
        <f>+$C$90*F24*$C$78</f>
        <v>0</v>
      </c>
      <c r="G104" s="56">
        <f>+$C$90*G24*$C$78</f>
        <v>0</v>
      </c>
      <c r="H104" s="57">
        <f t="shared" si="18"/>
        <v>0</v>
      </c>
      <c r="J104" s="16" t="s">
        <v>76</v>
      </c>
      <c r="K104" s="34" t="s">
        <v>15</v>
      </c>
      <c r="L104" s="56"/>
      <c r="M104" s="56">
        <f>+$C$91*M24*$L$78</f>
        <v>0</v>
      </c>
      <c r="N104" s="56">
        <f>+$C$91*N24*$L$78</f>
        <v>0</v>
      </c>
      <c r="O104" s="56">
        <f>+$C$91*O24*$L$78</f>
        <v>0</v>
      </c>
      <c r="P104" s="56">
        <f>+$C$91*P24*$L$78</f>
        <v>0</v>
      </c>
      <c r="Q104" s="57">
        <f>SUM(L104:P104)</f>
        <v>0</v>
      </c>
      <c r="R104" s="57">
        <f t="shared" si="19"/>
        <v>0</v>
      </c>
    </row>
    <row r="105" spans="1:18" ht="12.75" customHeight="1">
      <c r="A105" s="17" t="s">
        <v>77</v>
      </c>
      <c r="B105" s="34" t="s">
        <v>15</v>
      </c>
      <c r="C105" s="56"/>
      <c r="D105" s="56">
        <f>+$C$90*$E$78*D24</f>
        <v>537.6</v>
      </c>
      <c r="E105" s="56">
        <f>+$C$90*$E$78*E24</f>
        <v>230.4</v>
      </c>
      <c r="F105" s="56">
        <f>+$C$90*$E$78*F24</f>
        <v>384</v>
      </c>
      <c r="G105" s="56">
        <f>+$C$90*$E$78*G24</f>
        <v>768</v>
      </c>
      <c r="H105" s="57">
        <f t="shared" si="18"/>
        <v>1920</v>
      </c>
      <c r="J105" s="17" t="s">
        <v>77</v>
      </c>
      <c r="K105" s="34" t="s">
        <v>15</v>
      </c>
      <c r="L105" s="56"/>
      <c r="M105" s="56">
        <f>+$C$91*$N$78*M24</f>
        <v>115.2</v>
      </c>
      <c r="N105" s="56">
        <f>+$C$91*$N$78*N24</f>
        <v>288</v>
      </c>
      <c r="O105" s="56">
        <f>+$C$91*$N$78*O24</f>
        <v>288</v>
      </c>
      <c r="P105" s="56">
        <f>+$C$91*$N$78*P24</f>
        <v>576</v>
      </c>
      <c r="Q105" s="57">
        <f>SUM(L105:P105)</f>
        <v>1267.2</v>
      </c>
      <c r="R105" s="57">
        <f t="shared" si="19"/>
        <v>3187.2</v>
      </c>
    </row>
    <row r="106" spans="1:18" ht="12.75" customHeight="1">
      <c r="A106" s="18" t="s">
        <v>80</v>
      </c>
      <c r="B106" s="34" t="s">
        <v>15</v>
      </c>
      <c r="C106" s="20">
        <f aca="true" t="shared" si="20" ref="C106:H106">SUM(C104:C105)</f>
        <v>0</v>
      </c>
      <c r="D106" s="20">
        <f t="shared" si="20"/>
        <v>537.6</v>
      </c>
      <c r="E106" s="20">
        <f t="shared" si="20"/>
        <v>230.4</v>
      </c>
      <c r="F106" s="20">
        <f t="shared" si="20"/>
        <v>384</v>
      </c>
      <c r="G106" s="20">
        <f t="shared" si="20"/>
        <v>768</v>
      </c>
      <c r="H106" s="20">
        <f t="shared" si="20"/>
        <v>1920</v>
      </c>
      <c r="J106" s="18" t="s">
        <v>80</v>
      </c>
      <c r="K106" s="34" t="s">
        <v>15</v>
      </c>
      <c r="L106" s="20"/>
      <c r="M106" s="20">
        <f>SUM(M104:M105)</f>
        <v>115.2</v>
      </c>
      <c r="N106" s="20">
        <f>SUM(N104:N105)</f>
        <v>288</v>
      </c>
      <c r="O106" s="20">
        <f>SUM(O104:O105)</f>
        <v>288</v>
      </c>
      <c r="P106" s="20">
        <f>SUM(P104:P105)</f>
        <v>576</v>
      </c>
      <c r="Q106" s="20">
        <f>SUM(Q104:Q105)</f>
        <v>1267.2</v>
      </c>
      <c r="R106" s="20">
        <f t="shared" si="19"/>
        <v>3187.2</v>
      </c>
    </row>
    <row r="107" spans="1:18" ht="12.75" customHeight="1">
      <c r="A107" s="15" t="s">
        <v>147</v>
      </c>
      <c r="B107" s="34"/>
      <c r="C107" s="20"/>
      <c r="D107" s="20"/>
      <c r="E107" s="20"/>
      <c r="F107" s="20"/>
      <c r="G107" s="20"/>
      <c r="H107" s="20"/>
      <c r="J107" s="15" t="s">
        <v>147</v>
      </c>
      <c r="K107" s="34"/>
      <c r="L107" s="20"/>
      <c r="M107" s="20"/>
      <c r="N107" s="20"/>
      <c r="O107" s="20"/>
      <c r="P107" s="20"/>
      <c r="Q107" s="20"/>
      <c r="R107" s="57"/>
    </row>
    <row r="108" spans="1:18" ht="12.75" customHeight="1">
      <c r="A108" s="16" t="s">
        <v>76</v>
      </c>
      <c r="B108" s="34" t="s">
        <v>16</v>
      </c>
      <c r="C108" s="56"/>
      <c r="D108" s="56"/>
      <c r="E108" s="56"/>
      <c r="F108" s="58">
        <f>+$C$90*$C$79*F27</f>
        <v>1343.9999999999998</v>
      </c>
      <c r="G108" s="58">
        <f>+$C$90*$C$79*G27</f>
        <v>2687.9999999999995</v>
      </c>
      <c r="H108" s="57">
        <f t="shared" si="18"/>
        <v>4031.999999999999</v>
      </c>
      <c r="J108" s="16" t="s">
        <v>76</v>
      </c>
      <c r="K108" s="34" t="s">
        <v>16</v>
      </c>
      <c r="L108" s="56"/>
      <c r="M108" s="56"/>
      <c r="N108" s="56"/>
      <c r="O108" s="58">
        <f>+$C$91*$L$79*O27</f>
        <v>1007.9999999999999</v>
      </c>
      <c r="P108" s="58">
        <f>+$C$91*$L$79*P27</f>
        <v>2015.9999999999998</v>
      </c>
      <c r="Q108" s="57">
        <f>SUM(L108:P108)</f>
        <v>3023.9999999999995</v>
      </c>
      <c r="R108" s="57">
        <f t="shared" si="19"/>
        <v>7055.999999999998</v>
      </c>
    </row>
    <row r="109" spans="1:18" ht="12.75" customHeight="1">
      <c r="A109" s="17" t="s">
        <v>77</v>
      </c>
      <c r="B109" s="34" t="s">
        <v>16</v>
      </c>
      <c r="C109" s="56"/>
      <c r="D109" s="56"/>
      <c r="E109" s="56"/>
      <c r="F109" s="58">
        <f>+$C$90*$E$79*F27</f>
        <v>1343.9999999999998</v>
      </c>
      <c r="G109" s="58">
        <f>+$C$90*$E$79*G27</f>
        <v>2687.9999999999995</v>
      </c>
      <c r="H109" s="57">
        <f t="shared" si="18"/>
        <v>4031.999999999999</v>
      </c>
      <c r="J109" s="17" t="s">
        <v>77</v>
      </c>
      <c r="K109" s="34" t="s">
        <v>16</v>
      </c>
      <c r="L109" s="56"/>
      <c r="M109" s="56"/>
      <c r="N109" s="56"/>
      <c r="O109" s="58">
        <f>+$C$91*$N$79*O27</f>
        <v>1007.9999999999999</v>
      </c>
      <c r="P109" s="58">
        <f>+$C$91*$N$79*P27</f>
        <v>2015.9999999999998</v>
      </c>
      <c r="Q109" s="57">
        <f>SUM(L109:P109)</f>
        <v>3023.9999999999995</v>
      </c>
      <c r="R109" s="57">
        <f t="shared" si="19"/>
        <v>7055.999999999998</v>
      </c>
    </row>
    <row r="110" spans="1:18" ht="12.75" customHeight="1">
      <c r="A110" s="18" t="s">
        <v>81</v>
      </c>
      <c r="B110" s="34" t="s">
        <v>16</v>
      </c>
      <c r="C110" s="20">
        <f aca="true" t="shared" si="21" ref="C110:H110">SUM(C108:C109)</f>
        <v>0</v>
      </c>
      <c r="D110" s="20">
        <f t="shared" si="21"/>
        <v>0</v>
      </c>
      <c r="E110" s="20">
        <f t="shared" si="21"/>
        <v>0</v>
      </c>
      <c r="F110" s="20">
        <f t="shared" si="21"/>
        <v>2687.9999999999995</v>
      </c>
      <c r="G110" s="20">
        <f t="shared" si="21"/>
        <v>5375.999999999999</v>
      </c>
      <c r="H110" s="20">
        <f t="shared" si="21"/>
        <v>8063.999999999998</v>
      </c>
      <c r="J110" s="18" t="s">
        <v>81</v>
      </c>
      <c r="K110" s="34" t="s">
        <v>16</v>
      </c>
      <c r="L110" s="20">
        <f aca="true" t="shared" si="22" ref="L110:Q110">SUM(L108:L109)</f>
        <v>0</v>
      </c>
      <c r="M110" s="20">
        <f t="shared" si="22"/>
        <v>0</v>
      </c>
      <c r="N110" s="20">
        <f t="shared" si="22"/>
        <v>0</v>
      </c>
      <c r="O110" s="20">
        <f t="shared" si="22"/>
        <v>2015.9999999999998</v>
      </c>
      <c r="P110" s="20">
        <f t="shared" si="22"/>
        <v>4031.9999999999995</v>
      </c>
      <c r="Q110" s="20">
        <f t="shared" si="22"/>
        <v>6047.999999999999</v>
      </c>
      <c r="R110" s="20">
        <f t="shared" si="19"/>
        <v>14111.999999999996</v>
      </c>
    </row>
    <row r="111" spans="1:18" ht="12.75" customHeight="1">
      <c r="A111" s="15" t="s">
        <v>82</v>
      </c>
      <c r="B111" s="34"/>
      <c r="C111" s="20"/>
      <c r="D111" s="20"/>
      <c r="E111" s="20"/>
      <c r="F111" s="20"/>
      <c r="G111" s="20"/>
      <c r="H111" s="20"/>
      <c r="J111" s="15" t="s">
        <v>82</v>
      </c>
      <c r="K111" s="34"/>
      <c r="L111" s="20"/>
      <c r="M111" s="20"/>
      <c r="N111" s="20"/>
      <c r="O111" s="20"/>
      <c r="P111" s="20"/>
      <c r="Q111" s="20"/>
      <c r="R111" s="57"/>
    </row>
    <row r="112" spans="1:18" ht="12.75" customHeight="1">
      <c r="A112" s="16" t="s">
        <v>76</v>
      </c>
      <c r="B112" s="34" t="s">
        <v>56</v>
      </c>
      <c r="C112" s="56"/>
      <c r="D112" s="56">
        <f>+$C$90*$C$77*D$24</f>
        <v>0</v>
      </c>
      <c r="E112" s="56">
        <f>+$C$90*$C$77*E$24</f>
        <v>0</v>
      </c>
      <c r="F112" s="56">
        <f>+$C$90*$C$77*F$24</f>
        <v>0</v>
      </c>
      <c r="G112" s="56">
        <f>+$C$90*$C$77*G$24</f>
        <v>0</v>
      </c>
      <c r="H112" s="57">
        <f t="shared" si="18"/>
        <v>0</v>
      </c>
      <c r="J112" s="16" t="s">
        <v>76</v>
      </c>
      <c r="K112" s="34" t="s">
        <v>56</v>
      </c>
      <c r="L112" s="56"/>
      <c r="M112" s="56">
        <f>+$C$91*$L$77*M$24</f>
        <v>0</v>
      </c>
      <c r="N112" s="56">
        <f>+$C$91*$L$77*N$24</f>
        <v>0</v>
      </c>
      <c r="O112" s="56">
        <f>+$C$91*$L$77*O$24</f>
        <v>0</v>
      </c>
      <c r="P112" s="56">
        <f>+$C$91*$L$77*P$24</f>
        <v>0</v>
      </c>
      <c r="Q112" s="57">
        <f>SUM(L112:P112)</f>
        <v>0</v>
      </c>
      <c r="R112" s="57">
        <f t="shared" si="19"/>
        <v>0</v>
      </c>
    </row>
    <row r="113" spans="1:18" ht="12.75" customHeight="1">
      <c r="A113" s="17" t="s">
        <v>77</v>
      </c>
      <c r="B113" s="34" t="s">
        <v>56</v>
      </c>
      <c r="C113" s="56"/>
      <c r="D113" s="56">
        <f>+$C$90*$E$77*D$24</f>
        <v>134.4</v>
      </c>
      <c r="E113" s="56">
        <f>+$C$90*$E$77*E$24</f>
        <v>57.6</v>
      </c>
      <c r="F113" s="56">
        <f>+$C$90*$E$77*F$24</f>
        <v>96</v>
      </c>
      <c r="G113" s="56">
        <f>+$C$90*$E$77*G$24</f>
        <v>192</v>
      </c>
      <c r="H113" s="57">
        <f t="shared" si="18"/>
        <v>480</v>
      </c>
      <c r="J113" s="17" t="s">
        <v>77</v>
      </c>
      <c r="K113" s="34" t="s">
        <v>56</v>
      </c>
      <c r="L113" s="56"/>
      <c r="M113" s="56">
        <f>+$C$91*$N$77*M$24</f>
        <v>28.8</v>
      </c>
      <c r="N113" s="56">
        <f>+$C$91*$N$77*N$24</f>
        <v>72</v>
      </c>
      <c r="O113" s="56">
        <f>+$C$91*$N$77*O$24</f>
        <v>72</v>
      </c>
      <c r="P113" s="56">
        <f>+$C$91*$N$77*P$24</f>
        <v>144</v>
      </c>
      <c r="Q113" s="57">
        <f>SUM(L113:P113)</f>
        <v>316.8</v>
      </c>
      <c r="R113" s="57">
        <f t="shared" si="19"/>
        <v>796.8</v>
      </c>
    </row>
    <row r="114" spans="1:18" ht="12.75" customHeight="1">
      <c r="A114" s="18" t="s">
        <v>83</v>
      </c>
      <c r="B114" s="34" t="s">
        <v>56</v>
      </c>
      <c r="C114" s="20">
        <f aca="true" t="shared" si="23" ref="C114:H114">SUM(C112:C113)</f>
        <v>0</v>
      </c>
      <c r="D114" s="20">
        <f t="shared" si="23"/>
        <v>134.4</v>
      </c>
      <c r="E114" s="20">
        <f t="shared" si="23"/>
        <v>57.6</v>
      </c>
      <c r="F114" s="20">
        <f t="shared" si="23"/>
        <v>96</v>
      </c>
      <c r="G114" s="20">
        <f t="shared" si="23"/>
        <v>192</v>
      </c>
      <c r="H114" s="20">
        <f t="shared" si="23"/>
        <v>480</v>
      </c>
      <c r="J114" s="18" t="s">
        <v>83</v>
      </c>
      <c r="K114" s="34" t="s">
        <v>56</v>
      </c>
      <c r="L114" s="20">
        <f aca="true" t="shared" si="24" ref="L114:Q114">SUM(L112:L113)</f>
        <v>0</v>
      </c>
      <c r="M114" s="20">
        <f t="shared" si="24"/>
        <v>28.8</v>
      </c>
      <c r="N114" s="20">
        <f t="shared" si="24"/>
        <v>72</v>
      </c>
      <c r="O114" s="20">
        <f t="shared" si="24"/>
        <v>72</v>
      </c>
      <c r="P114" s="20">
        <f t="shared" si="24"/>
        <v>144</v>
      </c>
      <c r="Q114" s="20">
        <f t="shared" si="24"/>
        <v>316.8</v>
      </c>
      <c r="R114" s="20">
        <f t="shared" si="19"/>
        <v>796.8</v>
      </c>
    </row>
    <row r="115" spans="1:18" ht="12.75" customHeight="1">
      <c r="A115" s="15" t="s">
        <v>17</v>
      </c>
      <c r="B115" s="34"/>
      <c r="C115" s="20"/>
      <c r="D115" s="20"/>
      <c r="E115" s="20"/>
      <c r="F115" s="20"/>
      <c r="G115" s="20"/>
      <c r="H115" s="20"/>
      <c r="J115" s="15" t="s">
        <v>17</v>
      </c>
      <c r="K115" s="34"/>
      <c r="L115" s="20"/>
      <c r="M115" s="20"/>
      <c r="N115" s="20"/>
      <c r="O115" s="20"/>
      <c r="P115" s="20"/>
      <c r="Q115" s="20"/>
      <c r="R115" s="57"/>
    </row>
    <row r="116" spans="1:18" ht="12.75" customHeight="1">
      <c r="A116" s="16" t="s">
        <v>76</v>
      </c>
      <c r="B116" s="34" t="s">
        <v>84</v>
      </c>
      <c r="C116" s="56">
        <f aca="true" t="shared" si="25" ref="C116:G117">+C96+C100+C104+C108+C112</f>
        <v>3744</v>
      </c>
      <c r="D116" s="56">
        <f t="shared" si="25"/>
        <v>26.88</v>
      </c>
      <c r="E116" s="56">
        <f t="shared" si="25"/>
        <v>11.52</v>
      </c>
      <c r="F116" s="56">
        <f t="shared" si="25"/>
        <v>1363.1999999999998</v>
      </c>
      <c r="G116" s="56">
        <f t="shared" si="25"/>
        <v>2726.3999999999996</v>
      </c>
      <c r="H116" s="57">
        <f t="shared" si="18"/>
        <v>7872</v>
      </c>
      <c r="J116" s="16" t="s">
        <v>76</v>
      </c>
      <c r="K116" s="34" t="s">
        <v>84</v>
      </c>
      <c r="L116" s="56">
        <f aca="true" t="shared" si="26" ref="L116:P117">+L96+L100+L104+L108+L112</f>
        <v>5696.64</v>
      </c>
      <c r="M116" s="56">
        <f t="shared" si="26"/>
        <v>5.76</v>
      </c>
      <c r="N116" s="56">
        <f t="shared" si="26"/>
        <v>14.4</v>
      </c>
      <c r="O116" s="56">
        <f t="shared" si="26"/>
        <v>1022.3999999999999</v>
      </c>
      <c r="P116" s="56">
        <f t="shared" si="26"/>
        <v>2044.7999999999997</v>
      </c>
      <c r="Q116" s="57">
        <f>SUM(L116:P116)</f>
        <v>8784</v>
      </c>
      <c r="R116" s="57">
        <f t="shared" si="19"/>
        <v>16656</v>
      </c>
    </row>
    <row r="117" spans="1:18" ht="12.75" customHeight="1">
      <c r="A117" s="17" t="s">
        <v>77</v>
      </c>
      <c r="B117" s="34" t="s">
        <v>84</v>
      </c>
      <c r="C117" s="56">
        <f t="shared" si="25"/>
        <v>22464</v>
      </c>
      <c r="D117" s="56">
        <f t="shared" si="25"/>
        <v>833.28</v>
      </c>
      <c r="E117" s="56">
        <f t="shared" si="25"/>
        <v>357.12</v>
      </c>
      <c r="F117" s="56">
        <f t="shared" si="25"/>
        <v>1939.1999999999998</v>
      </c>
      <c r="G117" s="56">
        <f t="shared" si="25"/>
        <v>3878.3999999999996</v>
      </c>
      <c r="H117" s="57">
        <f t="shared" si="18"/>
        <v>29472</v>
      </c>
      <c r="J117" s="17" t="s">
        <v>77</v>
      </c>
      <c r="K117" s="34" t="s">
        <v>84</v>
      </c>
      <c r="L117" s="56">
        <f t="shared" si="26"/>
        <v>34179.840000000004</v>
      </c>
      <c r="M117" s="56">
        <f t="shared" si="26"/>
        <v>178.56</v>
      </c>
      <c r="N117" s="56">
        <f t="shared" si="26"/>
        <v>446.4</v>
      </c>
      <c r="O117" s="56">
        <f t="shared" si="26"/>
        <v>1454.3999999999999</v>
      </c>
      <c r="P117" s="56">
        <f t="shared" si="26"/>
        <v>2908.7999999999997</v>
      </c>
      <c r="Q117" s="57">
        <f>SUM(L117:P117)</f>
        <v>39168.00000000001</v>
      </c>
      <c r="R117" s="57">
        <f t="shared" si="19"/>
        <v>68640</v>
      </c>
    </row>
    <row r="118" spans="1:18" ht="12.75" customHeight="1">
      <c r="A118" s="18" t="s">
        <v>85</v>
      </c>
      <c r="B118" s="34" t="s">
        <v>84</v>
      </c>
      <c r="C118" s="20">
        <f aca="true" t="shared" si="27" ref="C118:H118">SUM(C116:C117)</f>
        <v>26208</v>
      </c>
      <c r="D118" s="20">
        <f t="shared" si="27"/>
        <v>860.16</v>
      </c>
      <c r="E118" s="20">
        <f t="shared" si="27"/>
        <v>368.64</v>
      </c>
      <c r="F118" s="20">
        <f t="shared" si="27"/>
        <v>3302.3999999999996</v>
      </c>
      <c r="G118" s="20">
        <f t="shared" si="27"/>
        <v>6604.799999999999</v>
      </c>
      <c r="H118" s="20">
        <f t="shared" si="27"/>
        <v>37344</v>
      </c>
      <c r="J118" s="18" t="s">
        <v>85</v>
      </c>
      <c r="K118" s="34" t="s">
        <v>84</v>
      </c>
      <c r="L118" s="20">
        <f aca="true" t="shared" si="28" ref="L118:Q118">SUM(L116:L117)</f>
        <v>39876.48</v>
      </c>
      <c r="M118" s="20">
        <f t="shared" si="28"/>
        <v>184.32</v>
      </c>
      <c r="N118" s="20">
        <f t="shared" si="28"/>
        <v>460.79999999999995</v>
      </c>
      <c r="O118" s="20">
        <f t="shared" si="28"/>
        <v>2476.7999999999997</v>
      </c>
      <c r="P118" s="20">
        <f t="shared" si="28"/>
        <v>4953.599999999999</v>
      </c>
      <c r="Q118" s="20">
        <f t="shared" si="28"/>
        <v>47952.00000000001</v>
      </c>
      <c r="R118" s="20">
        <f t="shared" si="19"/>
        <v>85296</v>
      </c>
    </row>
    <row r="119" spans="1:18" ht="12.75" customHeight="1">
      <c r="A119" s="2" t="s">
        <v>9</v>
      </c>
      <c r="B119" s="25" t="s">
        <v>4</v>
      </c>
      <c r="C119" s="63"/>
      <c r="D119" s="63"/>
      <c r="E119" s="63"/>
      <c r="F119" s="63"/>
      <c r="G119" s="63"/>
      <c r="H119" s="22">
        <f>0.1233*H118</f>
        <v>4604.5152</v>
      </c>
      <c r="J119" s="15" t="s">
        <v>9</v>
      </c>
      <c r="K119" s="16" t="s">
        <v>4</v>
      </c>
      <c r="L119" s="85">
        <f>0.1233*L118</f>
        <v>4916.7699840000005</v>
      </c>
      <c r="M119" s="85">
        <f aca="true" t="shared" si="29" ref="M119:R119">0.1233*M118</f>
        <v>22.726656000000002</v>
      </c>
      <c r="N119" s="85">
        <f t="shared" si="29"/>
        <v>56.81664</v>
      </c>
      <c r="O119" s="85">
        <f t="shared" si="29"/>
        <v>305.38944</v>
      </c>
      <c r="P119" s="85">
        <f t="shared" si="29"/>
        <v>610.77888</v>
      </c>
      <c r="Q119" s="85">
        <f t="shared" si="29"/>
        <v>5912.481600000001</v>
      </c>
      <c r="R119" s="63">
        <f t="shared" si="29"/>
        <v>10516.9968</v>
      </c>
    </row>
    <row r="120" spans="1:18" ht="12.75" customHeight="1">
      <c r="A120" s="23" t="s">
        <v>113</v>
      </c>
      <c r="B120" s="119">
        <f>+'PMC 01'!B120</f>
        <v>0.2</v>
      </c>
      <c r="C120" s="60" t="s">
        <v>86</v>
      </c>
      <c r="D120" s="60"/>
      <c r="E120" s="34"/>
      <c r="F120" s="34"/>
      <c r="G120" s="34"/>
      <c r="H120" s="34"/>
      <c r="J120" s="15" t="s">
        <v>113</v>
      </c>
      <c r="K120" s="98">
        <v>0.2</v>
      </c>
      <c r="L120" s="34" t="s">
        <v>86</v>
      </c>
      <c r="M120" s="34"/>
      <c r="N120" s="34"/>
      <c r="O120" s="34"/>
      <c r="P120" s="34"/>
      <c r="Q120" s="34"/>
      <c r="R120" s="57"/>
    </row>
    <row r="121" spans="1:18" ht="12.75" customHeight="1">
      <c r="A121" s="16" t="s">
        <v>76</v>
      </c>
      <c r="B121" s="61" t="s">
        <v>4</v>
      </c>
      <c r="C121" s="62">
        <f>+$C$90*$C$77*C61*$B120</f>
        <v>0</v>
      </c>
      <c r="D121" s="63">
        <f>+$C$90*$C$77*D61*$B120</f>
        <v>0</v>
      </c>
      <c r="E121" s="63">
        <f>+$C$90*$C$77*E61*$B120</f>
        <v>0</v>
      </c>
      <c r="F121" s="63">
        <f>+$C$90*$C$77*F61*$B120</f>
        <v>0</v>
      </c>
      <c r="G121" s="63">
        <f>+$C$90*$C$77*G61*$B120</f>
        <v>0</v>
      </c>
      <c r="H121" s="57">
        <f aca="true" t="shared" si="30" ref="H121:H134">SUM(C121:G121)</f>
        <v>0</v>
      </c>
      <c r="J121" s="16" t="s">
        <v>76</v>
      </c>
      <c r="K121" s="34" t="s">
        <v>4</v>
      </c>
      <c r="L121" s="63">
        <f>+$C$91*$L$77*L61*$B120</f>
        <v>0</v>
      </c>
      <c r="M121" s="63">
        <f>+$C$91*$L$77*M61*$B120</f>
        <v>0</v>
      </c>
      <c r="N121" s="63">
        <f>+$C$91*$L$77*N61*$B120</f>
        <v>0</v>
      </c>
      <c r="O121" s="63">
        <f>+$C$91*$L$77*O61*$B120</f>
        <v>0</v>
      </c>
      <c r="P121" s="63">
        <f>+$C$91*$L$77*P61*$B120</f>
        <v>0</v>
      </c>
      <c r="Q121" s="57">
        <f>SUM(L121:P121)</f>
        <v>0</v>
      </c>
      <c r="R121" s="57">
        <f t="shared" si="19"/>
        <v>0</v>
      </c>
    </row>
    <row r="122" spans="1:18" ht="12.75" customHeight="1">
      <c r="A122" s="17" t="s">
        <v>77</v>
      </c>
      <c r="B122" s="34" t="s">
        <v>4</v>
      </c>
      <c r="C122" s="63">
        <f>+$C$90*$E$77*C61*$B120</f>
        <v>3783.8757421487608</v>
      </c>
      <c r="D122" s="63">
        <f>+$C$90*$E$77*D61*$B120</f>
        <v>19.803839999999997</v>
      </c>
      <c r="E122" s="63">
        <f>+$C$90*$E$77*E61*$B120</f>
        <v>8.48736</v>
      </c>
      <c r="F122" s="63">
        <f>+$C$90*$E$77*F61*$B120</f>
        <v>9.277685950413225</v>
      </c>
      <c r="G122" s="63">
        <f>+$C$90*$E$77*G61*$B120</f>
        <v>18.55537190082645</v>
      </c>
      <c r="H122" s="57">
        <f t="shared" si="30"/>
        <v>3840.0000000000005</v>
      </c>
      <c r="J122" s="17" t="s">
        <v>77</v>
      </c>
      <c r="K122" s="34" t="s">
        <v>4</v>
      </c>
      <c r="L122" s="63">
        <f>+$C$91*$N$77*L61*$B120</f>
        <v>5724.272326611571</v>
      </c>
      <c r="M122" s="63">
        <f>+$C$91*$N$77*M61*$B120</f>
        <v>4.2436799999999995</v>
      </c>
      <c r="N122" s="63">
        <f>+$C$91*$N$77*N61*$B120</f>
        <v>10.6092</v>
      </c>
      <c r="O122" s="63">
        <f>+$C$91*$N$77*O61*$B120</f>
        <v>6.958264462809919</v>
      </c>
      <c r="P122" s="63">
        <f>+$C$91*$N$77*P61*$B120</f>
        <v>13.916528925619838</v>
      </c>
      <c r="Q122" s="57">
        <f>SUM(L122:P122)</f>
        <v>5760</v>
      </c>
      <c r="R122" s="57">
        <f t="shared" si="19"/>
        <v>9600</v>
      </c>
    </row>
    <row r="123" spans="1:18" ht="12.75" customHeight="1">
      <c r="A123" s="18" t="s">
        <v>87</v>
      </c>
      <c r="B123" s="34" t="s">
        <v>4</v>
      </c>
      <c r="C123" s="20">
        <f aca="true" t="shared" si="31" ref="C123:H123">SUM(C121:C122)</f>
        <v>3783.8757421487608</v>
      </c>
      <c r="D123" s="20">
        <f t="shared" si="31"/>
        <v>19.803839999999997</v>
      </c>
      <c r="E123" s="20">
        <f t="shared" si="31"/>
        <v>8.48736</v>
      </c>
      <c r="F123" s="20">
        <f t="shared" si="31"/>
        <v>9.277685950413225</v>
      </c>
      <c r="G123" s="20">
        <f t="shared" si="31"/>
        <v>18.55537190082645</v>
      </c>
      <c r="H123" s="20">
        <f t="shared" si="31"/>
        <v>3840.0000000000005</v>
      </c>
      <c r="J123" s="18" t="s">
        <v>87</v>
      </c>
      <c r="K123" s="34" t="s">
        <v>4</v>
      </c>
      <c r="L123" s="20">
        <f aca="true" t="shared" si="32" ref="L123:Q123">SUM(L121:L122)</f>
        <v>5724.272326611571</v>
      </c>
      <c r="M123" s="20">
        <f t="shared" si="32"/>
        <v>4.2436799999999995</v>
      </c>
      <c r="N123" s="20">
        <f t="shared" si="32"/>
        <v>10.6092</v>
      </c>
      <c r="O123" s="20">
        <f t="shared" si="32"/>
        <v>6.958264462809919</v>
      </c>
      <c r="P123" s="20">
        <f t="shared" si="32"/>
        <v>13.916528925619838</v>
      </c>
      <c r="Q123" s="20">
        <f t="shared" si="32"/>
        <v>5760</v>
      </c>
      <c r="R123" s="20">
        <f t="shared" si="19"/>
        <v>9600</v>
      </c>
    </row>
    <row r="124" spans="1:18" ht="12.75" customHeight="1">
      <c r="A124" s="21" t="s">
        <v>146</v>
      </c>
      <c r="B124" s="34"/>
      <c r="C124" s="20"/>
      <c r="D124" s="20"/>
      <c r="E124" s="20"/>
      <c r="F124" s="20"/>
      <c r="G124" s="20"/>
      <c r="H124" s="20"/>
      <c r="J124" s="21" t="s">
        <v>146</v>
      </c>
      <c r="K124" s="34"/>
      <c r="L124" s="20"/>
      <c r="M124" s="20"/>
      <c r="N124" s="20"/>
      <c r="O124" s="20"/>
      <c r="P124" s="20"/>
      <c r="Q124" s="20"/>
      <c r="R124" s="57"/>
    </row>
    <row r="125" spans="1:18" ht="12.75" customHeight="1">
      <c r="A125" s="16" t="s">
        <v>76</v>
      </c>
      <c r="B125" s="34" t="s">
        <v>4</v>
      </c>
      <c r="C125" s="58"/>
      <c r="D125" s="58">
        <f>+$B$120*$C$90*$C78*D33</f>
        <v>0</v>
      </c>
      <c r="E125" s="58">
        <f>+$B$120*$C$90*$C78*E33</f>
        <v>0</v>
      </c>
      <c r="F125" s="58">
        <f>+$B$120*$C$90*$C78*F33</f>
        <v>0</v>
      </c>
      <c r="G125" s="58">
        <f>+$B$120*$C$90*$C78*G33</f>
        <v>0</v>
      </c>
      <c r="H125" s="57">
        <f t="shared" si="30"/>
        <v>0</v>
      </c>
      <c r="J125" s="16" t="s">
        <v>76</v>
      </c>
      <c r="K125" s="34" t="s">
        <v>4</v>
      </c>
      <c r="L125" s="58"/>
      <c r="M125" s="58">
        <f>+$B$120*$C$91*$L78*M33</f>
        <v>0</v>
      </c>
      <c r="N125" s="58">
        <f>+$B$120*$C$91*$L78*N33</f>
        <v>0</v>
      </c>
      <c r="O125" s="58">
        <f>+$B$120*$C$91*$L78*O33</f>
        <v>0</v>
      </c>
      <c r="P125" s="58">
        <f>+$B$120*$C$91*$L78*P33</f>
        <v>0</v>
      </c>
      <c r="Q125" s="57">
        <f>SUM(L125:P125)</f>
        <v>0</v>
      </c>
      <c r="R125" s="57">
        <f t="shared" si="19"/>
        <v>0</v>
      </c>
    </row>
    <row r="126" spans="1:18" ht="12.75" customHeight="1">
      <c r="A126" s="17" t="s">
        <v>77</v>
      </c>
      <c r="B126" s="34" t="s">
        <v>4</v>
      </c>
      <c r="C126" s="58"/>
      <c r="D126" s="58">
        <f>+$B$120*$C$90*$E78*D33</f>
        <v>91.06943999999999</v>
      </c>
      <c r="E126" s="58">
        <f>+$B$120*$C$90*$E78*E33</f>
        <v>39.029759999999996</v>
      </c>
      <c r="F126" s="58">
        <f>+$B$120*$C$90*$E78*F33</f>
        <v>51.839999999999996</v>
      </c>
      <c r="G126" s="58">
        <f>+$B$120*$C$90*$E78*G33</f>
        <v>103.67999999999999</v>
      </c>
      <c r="H126" s="57">
        <f t="shared" si="30"/>
        <v>285.6192</v>
      </c>
      <c r="J126" s="17" t="s">
        <v>77</v>
      </c>
      <c r="K126" s="34" t="s">
        <v>4</v>
      </c>
      <c r="L126" s="58"/>
      <c r="M126" s="58">
        <f>+$B$120*$C$91*$N78*M33</f>
        <v>19.514879999999998</v>
      </c>
      <c r="N126" s="58">
        <f>+$B$120*$C$91*$N78*N33</f>
        <v>48.78719999999999</v>
      </c>
      <c r="O126" s="58">
        <f>+$B$120*$C$91*$N78*O33</f>
        <v>38.88</v>
      </c>
      <c r="P126" s="58">
        <f>+$B$120*$C$91*$N78*P33</f>
        <v>77.76</v>
      </c>
      <c r="Q126" s="57">
        <f>SUM(L126:P126)</f>
        <v>184.94207999999998</v>
      </c>
      <c r="R126" s="57">
        <f t="shared" si="19"/>
        <v>470.56127999999995</v>
      </c>
    </row>
    <row r="127" spans="1:18" ht="12.75" customHeight="1">
      <c r="A127" s="18" t="s">
        <v>88</v>
      </c>
      <c r="B127" s="34" t="s">
        <v>4</v>
      </c>
      <c r="C127" s="20">
        <f aca="true" t="shared" si="33" ref="C127:H127">SUM(C125:C126)</f>
        <v>0</v>
      </c>
      <c r="D127" s="20">
        <f t="shared" si="33"/>
        <v>91.06943999999999</v>
      </c>
      <c r="E127" s="20">
        <f t="shared" si="33"/>
        <v>39.029759999999996</v>
      </c>
      <c r="F127" s="20">
        <f t="shared" si="33"/>
        <v>51.839999999999996</v>
      </c>
      <c r="G127" s="20">
        <f t="shared" si="33"/>
        <v>103.67999999999999</v>
      </c>
      <c r="H127" s="20">
        <f t="shared" si="33"/>
        <v>285.6192</v>
      </c>
      <c r="J127" s="18" t="s">
        <v>88</v>
      </c>
      <c r="K127" s="34" t="s">
        <v>4</v>
      </c>
      <c r="L127" s="20">
        <f aca="true" t="shared" si="34" ref="L127:Q127">SUM(L125:L126)</f>
        <v>0</v>
      </c>
      <c r="M127" s="20">
        <f t="shared" si="34"/>
        <v>19.514879999999998</v>
      </c>
      <c r="N127" s="20">
        <f t="shared" si="34"/>
        <v>48.78719999999999</v>
      </c>
      <c r="O127" s="20">
        <f t="shared" si="34"/>
        <v>38.88</v>
      </c>
      <c r="P127" s="20">
        <f t="shared" si="34"/>
        <v>77.76</v>
      </c>
      <c r="Q127" s="20">
        <f t="shared" si="34"/>
        <v>184.94207999999998</v>
      </c>
      <c r="R127" s="20">
        <f t="shared" si="19"/>
        <v>470.56127999999995</v>
      </c>
    </row>
    <row r="128" spans="1:18" ht="12.75" customHeight="1">
      <c r="A128" s="15" t="s">
        <v>149</v>
      </c>
      <c r="B128" s="34"/>
      <c r="C128" s="20"/>
      <c r="D128" s="20"/>
      <c r="E128" s="20"/>
      <c r="F128" s="20"/>
      <c r="G128" s="20"/>
      <c r="H128" s="20"/>
      <c r="J128" s="15" t="s">
        <v>149</v>
      </c>
      <c r="K128" s="34"/>
      <c r="L128" s="20"/>
      <c r="M128" s="20"/>
      <c r="N128" s="20"/>
      <c r="O128" s="20"/>
      <c r="P128" s="20"/>
      <c r="Q128" s="20"/>
      <c r="R128" s="57"/>
    </row>
    <row r="129" spans="1:18" ht="12.75" customHeight="1">
      <c r="A129" s="16" t="s">
        <v>76</v>
      </c>
      <c r="B129" s="34" t="s">
        <v>4</v>
      </c>
      <c r="C129" s="63"/>
      <c r="D129" s="63"/>
      <c r="E129" s="63"/>
      <c r="F129" s="63">
        <f>+$C$90*$C$79*F$36*$B$120</f>
        <v>214.21487603305786</v>
      </c>
      <c r="G129" s="63">
        <f>+$C$90*$C$79*G$36*$B$120</f>
        <v>428.4297520661157</v>
      </c>
      <c r="H129" s="57">
        <f t="shared" si="30"/>
        <v>642.6446280991736</v>
      </c>
      <c r="J129" s="16" t="s">
        <v>76</v>
      </c>
      <c r="K129" s="34" t="s">
        <v>4</v>
      </c>
      <c r="L129" s="63"/>
      <c r="M129" s="63"/>
      <c r="N129" s="63"/>
      <c r="O129" s="63">
        <f>+$C$91*$L$79*O$36*$B$120</f>
        <v>160.6611570247934</v>
      </c>
      <c r="P129" s="63">
        <f>+$C$91*$L$79*P$36*$B$120</f>
        <v>321.3223140495868</v>
      </c>
      <c r="Q129" s="57">
        <f>SUM(L129:P129)</f>
        <v>481.9834710743802</v>
      </c>
      <c r="R129" s="57">
        <f t="shared" si="19"/>
        <v>1124.628099173554</v>
      </c>
    </row>
    <row r="130" spans="1:18" ht="12.75" customHeight="1">
      <c r="A130" s="17" t="s">
        <v>77</v>
      </c>
      <c r="B130" s="34" t="s">
        <v>4</v>
      </c>
      <c r="C130" s="63"/>
      <c r="D130" s="63"/>
      <c r="E130" s="63"/>
      <c r="F130" s="63">
        <f>+$C$90*$E$79*F$36*$B$120</f>
        <v>214.21487603305786</v>
      </c>
      <c r="G130" s="63">
        <f>+$C$90*$E$79*G$36*$B$120</f>
        <v>428.4297520661157</v>
      </c>
      <c r="H130" s="57">
        <f t="shared" si="30"/>
        <v>642.6446280991736</v>
      </c>
      <c r="J130" s="17" t="s">
        <v>77</v>
      </c>
      <c r="K130" s="34" t="s">
        <v>4</v>
      </c>
      <c r="L130" s="63"/>
      <c r="M130" s="63"/>
      <c r="N130" s="63"/>
      <c r="O130" s="63">
        <f>+$C$91*$N$79*O$36*$B$120</f>
        <v>160.6611570247934</v>
      </c>
      <c r="P130" s="63">
        <f>+$C$91*$N$79*P$36*$B$120</f>
        <v>321.3223140495868</v>
      </c>
      <c r="Q130" s="57">
        <f>SUM(L130:P130)</f>
        <v>481.9834710743802</v>
      </c>
      <c r="R130" s="57">
        <f t="shared" si="19"/>
        <v>1124.628099173554</v>
      </c>
    </row>
    <row r="131" spans="1:18" ht="12.75" customHeight="1">
      <c r="A131" s="18" t="s">
        <v>89</v>
      </c>
      <c r="B131" s="34" t="s">
        <v>4</v>
      </c>
      <c r="C131" s="20">
        <f aca="true" t="shared" si="35" ref="C131:H131">SUM(C129:C130)</f>
        <v>0</v>
      </c>
      <c r="D131" s="20">
        <f t="shared" si="35"/>
        <v>0</v>
      </c>
      <c r="E131" s="20">
        <f t="shared" si="35"/>
        <v>0</v>
      </c>
      <c r="F131" s="20">
        <f t="shared" si="35"/>
        <v>428.4297520661157</v>
      </c>
      <c r="G131" s="20">
        <f t="shared" si="35"/>
        <v>856.8595041322315</v>
      </c>
      <c r="H131" s="20">
        <f t="shared" si="35"/>
        <v>1285.2892561983472</v>
      </c>
      <c r="J131" s="18" t="s">
        <v>89</v>
      </c>
      <c r="K131" s="34" t="s">
        <v>4</v>
      </c>
      <c r="L131" s="20">
        <f aca="true" t="shared" si="36" ref="L131:Q131">SUM(L129:L130)</f>
        <v>0</v>
      </c>
      <c r="M131" s="20">
        <f t="shared" si="36"/>
        <v>0</v>
      </c>
      <c r="N131" s="20">
        <f t="shared" si="36"/>
        <v>0</v>
      </c>
      <c r="O131" s="20">
        <f t="shared" si="36"/>
        <v>321.3223140495868</v>
      </c>
      <c r="P131" s="20">
        <f t="shared" si="36"/>
        <v>642.6446280991736</v>
      </c>
      <c r="Q131" s="20">
        <f t="shared" si="36"/>
        <v>963.9669421487604</v>
      </c>
      <c r="R131" s="20">
        <f t="shared" si="19"/>
        <v>2249.256198347108</v>
      </c>
    </row>
    <row r="132" spans="1:18" ht="12.75" customHeight="1">
      <c r="A132" s="17" t="s">
        <v>19</v>
      </c>
      <c r="B132" s="34"/>
      <c r="C132" s="20"/>
      <c r="D132" s="20"/>
      <c r="E132" s="20"/>
      <c r="F132" s="20"/>
      <c r="G132" s="20"/>
      <c r="H132" s="20"/>
      <c r="J132" s="17" t="s">
        <v>19</v>
      </c>
      <c r="K132" s="34"/>
      <c r="L132" s="20"/>
      <c r="M132" s="20"/>
      <c r="N132" s="20"/>
      <c r="O132" s="20"/>
      <c r="P132" s="20"/>
      <c r="Q132" s="20"/>
      <c r="R132" s="57"/>
    </row>
    <row r="133" spans="1:18" ht="12.75" customHeight="1">
      <c r="A133" s="16" t="s">
        <v>76</v>
      </c>
      <c r="B133" s="34" t="s">
        <v>4</v>
      </c>
      <c r="C133" s="63"/>
      <c r="D133" s="63">
        <f>+$B$120*$C$90*$C$77*D$33</f>
        <v>0</v>
      </c>
      <c r="E133" s="63">
        <f>+$B$120*$C$90*$C$77*E$33</f>
        <v>0</v>
      </c>
      <c r="F133" s="63">
        <f>+$B$120*$C$90*$C$77*F$33</f>
        <v>0</v>
      </c>
      <c r="G133" s="63">
        <f>+$B$120*$C$90*$C$77*G$33</f>
        <v>0</v>
      </c>
      <c r="H133" s="57">
        <f t="shared" si="30"/>
        <v>0</v>
      </c>
      <c r="J133" s="16" t="s">
        <v>76</v>
      </c>
      <c r="K133" s="34" t="s">
        <v>4</v>
      </c>
      <c r="L133" s="63"/>
      <c r="M133" s="63">
        <f>+$B$120*$C$91*$L$77*M$33</f>
        <v>0</v>
      </c>
      <c r="N133" s="63">
        <f>+$B$120*$C$91*$L$77*N$33</f>
        <v>0</v>
      </c>
      <c r="O133" s="63">
        <f>+$B$120*$C$91*$L$77*O$33</f>
        <v>0</v>
      </c>
      <c r="P133" s="63">
        <f>+$B$120*$C$91*$L$77*P$33</f>
        <v>0</v>
      </c>
      <c r="Q133" s="57">
        <f>SUM(L133:P133)</f>
        <v>0</v>
      </c>
      <c r="R133" s="57">
        <f t="shared" si="19"/>
        <v>0</v>
      </c>
    </row>
    <row r="134" spans="1:18" ht="12.75" customHeight="1">
      <c r="A134" s="17" t="s">
        <v>77</v>
      </c>
      <c r="B134" s="34" t="s">
        <v>4</v>
      </c>
      <c r="C134" s="63"/>
      <c r="D134" s="63">
        <f>+$B$120*$C$90*$E$77*D$33</f>
        <v>22.767359999999996</v>
      </c>
      <c r="E134" s="63">
        <f>+$B$120*$C$90*$E$77*E$33</f>
        <v>9.757439999999999</v>
      </c>
      <c r="F134" s="63">
        <f>+$B$120*$C$90*$E$77*F$33</f>
        <v>12.959999999999999</v>
      </c>
      <c r="G134" s="63">
        <f>+$B$120*$C$90*$E$77*G$33</f>
        <v>25.919999999999998</v>
      </c>
      <c r="H134" s="57">
        <f t="shared" si="30"/>
        <v>71.4048</v>
      </c>
      <c r="J134" s="17" t="s">
        <v>77</v>
      </c>
      <c r="K134" s="34" t="s">
        <v>4</v>
      </c>
      <c r="L134" s="63"/>
      <c r="M134" s="63">
        <f>+$B$120*$C$91*$N$77*M$33</f>
        <v>4.8787199999999995</v>
      </c>
      <c r="N134" s="63">
        <f>+$B$120*$C$91*$N$77*N$33</f>
        <v>12.196799999999998</v>
      </c>
      <c r="O134" s="63">
        <f>+$B$120*$C$91*$N$77*O$33</f>
        <v>9.72</v>
      </c>
      <c r="P134" s="63">
        <f>+$B$120*$C$91*$N$77*P$33</f>
        <v>19.44</v>
      </c>
      <c r="Q134" s="57">
        <f>SUM(L134:P134)</f>
        <v>46.235519999999994</v>
      </c>
      <c r="R134" s="57">
        <f t="shared" si="19"/>
        <v>117.64031999999999</v>
      </c>
    </row>
    <row r="135" spans="1:18" ht="12.75" customHeight="1">
      <c r="A135" s="18" t="s">
        <v>90</v>
      </c>
      <c r="B135" s="34" t="s">
        <v>4</v>
      </c>
      <c r="C135" s="22">
        <f aca="true" t="shared" si="37" ref="C135:H135">SUM(C133:C134)</f>
        <v>0</v>
      </c>
      <c r="D135" s="22">
        <f t="shared" si="37"/>
        <v>22.767359999999996</v>
      </c>
      <c r="E135" s="22">
        <f t="shared" si="37"/>
        <v>9.757439999999999</v>
      </c>
      <c r="F135" s="22">
        <f t="shared" si="37"/>
        <v>12.959999999999999</v>
      </c>
      <c r="G135" s="22">
        <f t="shared" si="37"/>
        <v>25.919999999999998</v>
      </c>
      <c r="H135" s="20">
        <f t="shared" si="37"/>
        <v>71.4048</v>
      </c>
      <c r="J135" s="18" t="s">
        <v>90</v>
      </c>
      <c r="K135" s="34" t="s">
        <v>4</v>
      </c>
      <c r="L135" s="22">
        <f aca="true" t="shared" si="38" ref="L135:Q135">SUM(L133:L134)</f>
        <v>0</v>
      </c>
      <c r="M135" s="22">
        <f t="shared" si="38"/>
        <v>4.8787199999999995</v>
      </c>
      <c r="N135" s="22">
        <f t="shared" si="38"/>
        <v>12.196799999999998</v>
      </c>
      <c r="O135" s="22">
        <f t="shared" si="38"/>
        <v>9.72</v>
      </c>
      <c r="P135" s="22">
        <f t="shared" si="38"/>
        <v>19.44</v>
      </c>
      <c r="Q135" s="20">
        <f t="shared" si="38"/>
        <v>46.235519999999994</v>
      </c>
      <c r="R135" s="20">
        <f t="shared" si="19"/>
        <v>117.64031999999999</v>
      </c>
    </row>
    <row r="136" spans="1:18" ht="12.75" customHeight="1">
      <c r="A136" s="15" t="s">
        <v>20</v>
      </c>
      <c r="B136" s="34"/>
      <c r="C136" s="22"/>
      <c r="D136" s="22"/>
      <c r="E136" s="22"/>
      <c r="F136" s="22"/>
      <c r="G136" s="22"/>
      <c r="H136" s="20"/>
      <c r="J136" s="15" t="s">
        <v>20</v>
      </c>
      <c r="K136" s="34"/>
      <c r="L136" s="22"/>
      <c r="M136" s="22"/>
      <c r="N136" s="22"/>
      <c r="O136" s="22"/>
      <c r="P136" s="22"/>
      <c r="Q136" s="20"/>
      <c r="R136" s="57"/>
    </row>
    <row r="137" spans="1:18" ht="12.75" customHeight="1">
      <c r="A137" s="16" t="s">
        <v>76</v>
      </c>
      <c r="B137" s="34" t="s">
        <v>4</v>
      </c>
      <c r="C137" s="22">
        <f aca="true" t="shared" si="39" ref="C137:H139">+C121+C125+C129+C133</f>
        <v>0</v>
      </c>
      <c r="D137" s="22">
        <f t="shared" si="39"/>
        <v>0</v>
      </c>
      <c r="E137" s="22">
        <f t="shared" si="39"/>
        <v>0</v>
      </c>
      <c r="F137" s="22">
        <f t="shared" si="39"/>
        <v>214.21487603305786</v>
      </c>
      <c r="G137" s="22">
        <f t="shared" si="39"/>
        <v>428.4297520661157</v>
      </c>
      <c r="H137" s="22">
        <f t="shared" si="39"/>
        <v>642.6446280991736</v>
      </c>
      <c r="J137" s="16" t="s">
        <v>76</v>
      </c>
      <c r="K137" s="34" t="s">
        <v>4</v>
      </c>
      <c r="L137" s="22">
        <f aca="true" t="shared" si="40" ref="L137:Q139">+L121+L125+L129+L133</f>
        <v>0</v>
      </c>
      <c r="M137" s="22">
        <f t="shared" si="40"/>
        <v>0</v>
      </c>
      <c r="N137" s="22">
        <f t="shared" si="40"/>
        <v>0</v>
      </c>
      <c r="O137" s="22">
        <f t="shared" si="40"/>
        <v>160.6611570247934</v>
      </c>
      <c r="P137" s="22">
        <f t="shared" si="40"/>
        <v>321.3223140495868</v>
      </c>
      <c r="Q137" s="22">
        <f t="shared" si="40"/>
        <v>481.9834710743802</v>
      </c>
      <c r="R137" s="57">
        <f t="shared" si="19"/>
        <v>1124.628099173554</v>
      </c>
    </row>
    <row r="138" spans="1:18" ht="12.75" customHeight="1">
      <c r="A138" s="17" t="s">
        <v>77</v>
      </c>
      <c r="B138" s="34" t="s">
        <v>4</v>
      </c>
      <c r="C138" s="22">
        <f t="shared" si="39"/>
        <v>3783.8757421487608</v>
      </c>
      <c r="D138" s="22">
        <f t="shared" si="39"/>
        <v>133.64063999999996</v>
      </c>
      <c r="E138" s="22">
        <f t="shared" si="39"/>
        <v>57.274559999999994</v>
      </c>
      <c r="F138" s="22">
        <f t="shared" si="39"/>
        <v>288.29256198347105</v>
      </c>
      <c r="G138" s="22">
        <f t="shared" si="39"/>
        <v>576.5851239669421</v>
      </c>
      <c r="H138" s="22">
        <f t="shared" si="39"/>
        <v>4839.668628099174</v>
      </c>
      <c r="J138" s="17" t="s">
        <v>77</v>
      </c>
      <c r="K138" s="34" t="s">
        <v>4</v>
      </c>
      <c r="L138" s="22">
        <f t="shared" si="40"/>
        <v>5724.272326611571</v>
      </c>
      <c r="M138" s="22">
        <f t="shared" si="40"/>
        <v>28.637279999999997</v>
      </c>
      <c r="N138" s="22">
        <f t="shared" si="40"/>
        <v>71.5932</v>
      </c>
      <c r="O138" s="22">
        <f t="shared" si="40"/>
        <v>216.2194214876033</v>
      </c>
      <c r="P138" s="22">
        <f t="shared" si="40"/>
        <v>432.4388429752066</v>
      </c>
      <c r="Q138" s="22">
        <f t="shared" si="40"/>
        <v>6473.16107107438</v>
      </c>
      <c r="R138" s="57">
        <f t="shared" si="19"/>
        <v>11312.829699173555</v>
      </c>
    </row>
    <row r="139" spans="1:18" ht="12.75" customHeight="1">
      <c r="A139" s="18" t="s">
        <v>90</v>
      </c>
      <c r="B139" s="34" t="s">
        <v>4</v>
      </c>
      <c r="C139" s="22">
        <f t="shared" si="39"/>
        <v>3783.8757421487608</v>
      </c>
      <c r="D139" s="22">
        <f t="shared" si="39"/>
        <v>133.64063999999996</v>
      </c>
      <c r="E139" s="22">
        <f t="shared" si="39"/>
        <v>57.274559999999994</v>
      </c>
      <c r="F139" s="22">
        <f t="shared" si="39"/>
        <v>502.5074380165289</v>
      </c>
      <c r="G139" s="22">
        <f t="shared" si="39"/>
        <v>1005.0148760330578</v>
      </c>
      <c r="H139" s="22">
        <f t="shared" si="39"/>
        <v>5482.3132561983475</v>
      </c>
      <c r="J139" s="18" t="s">
        <v>90</v>
      </c>
      <c r="K139" s="34" t="s">
        <v>4</v>
      </c>
      <c r="L139" s="22">
        <f t="shared" si="40"/>
        <v>5724.272326611571</v>
      </c>
      <c r="M139" s="22">
        <f t="shared" si="40"/>
        <v>28.637279999999997</v>
      </c>
      <c r="N139" s="22">
        <f t="shared" si="40"/>
        <v>71.5932</v>
      </c>
      <c r="O139" s="22">
        <f t="shared" si="40"/>
        <v>376.88057851239677</v>
      </c>
      <c r="P139" s="22">
        <f t="shared" si="40"/>
        <v>753.7611570247935</v>
      </c>
      <c r="Q139" s="22">
        <f t="shared" si="40"/>
        <v>6955.144542148761</v>
      </c>
      <c r="R139" s="20">
        <f t="shared" si="19"/>
        <v>12437.457798347108</v>
      </c>
    </row>
    <row r="140" spans="1:18" ht="12.75" customHeight="1">
      <c r="A140" s="14" t="s">
        <v>114</v>
      </c>
      <c r="B140" s="12" t="s">
        <v>4</v>
      </c>
      <c r="C140" s="22"/>
      <c r="D140" s="22"/>
      <c r="E140" s="22"/>
      <c r="F140" s="22"/>
      <c r="G140" s="22"/>
      <c r="H140" s="22">
        <f>+H139+H119</f>
        <v>10086.828456198347</v>
      </c>
      <c r="J140" s="14" t="s">
        <v>114</v>
      </c>
      <c r="K140" s="34" t="s">
        <v>4</v>
      </c>
      <c r="L140" s="22"/>
      <c r="M140" s="22"/>
      <c r="N140" s="22"/>
      <c r="O140" s="22"/>
      <c r="P140" s="22"/>
      <c r="Q140" s="22">
        <f>+Q139+Q119</f>
        <v>12867.626142148762</v>
      </c>
      <c r="R140" s="20">
        <f t="shared" si="19"/>
        <v>22954.45459834711</v>
      </c>
    </row>
    <row r="141" spans="1:18" ht="12.75" customHeight="1">
      <c r="A141" s="15" t="s">
        <v>115</v>
      </c>
      <c r="B141" s="12" t="s">
        <v>4</v>
      </c>
      <c r="C141" s="87"/>
      <c r="D141" s="88"/>
      <c r="E141" s="88"/>
      <c r="F141" s="22"/>
      <c r="G141" s="87"/>
      <c r="H141" s="22">
        <f>+C149*B85</f>
        <v>20802.071302223605</v>
      </c>
      <c r="J141" s="15" t="s">
        <v>115</v>
      </c>
      <c r="K141" s="34"/>
      <c r="L141" s="63"/>
      <c r="M141" s="99"/>
      <c r="N141" s="99"/>
      <c r="O141" s="63"/>
      <c r="P141" s="58"/>
      <c r="Q141" s="22">
        <f>+D149*B85</f>
        <v>12344.67251076365</v>
      </c>
      <c r="R141" s="22">
        <f>+Q141+H141</f>
        <v>33146.74381298725</v>
      </c>
    </row>
    <row r="142" spans="1:18" ht="12.75" customHeight="1">
      <c r="A142" s="89"/>
      <c r="B142" s="90"/>
      <c r="C142" s="90"/>
      <c r="D142" s="90"/>
      <c r="E142" s="90"/>
      <c r="F142" s="90"/>
      <c r="G142" s="90"/>
      <c r="H142" s="90"/>
      <c r="J142" s="89"/>
      <c r="K142" s="38"/>
      <c r="L142" s="59"/>
      <c r="M142" s="38"/>
      <c r="N142" s="38"/>
      <c r="O142" s="59"/>
      <c r="Q142" s="59"/>
      <c r="R142" s="59"/>
    </row>
    <row r="143" spans="1:8" ht="29.25" customHeight="1">
      <c r="A143" s="17"/>
      <c r="B143" s="34"/>
      <c r="C143" s="92" t="s">
        <v>117</v>
      </c>
      <c r="D143" s="92" t="s">
        <v>118</v>
      </c>
      <c r="E143" s="15" t="s">
        <v>116</v>
      </c>
      <c r="F143" s="15" t="s">
        <v>39</v>
      </c>
      <c r="G143" s="93"/>
      <c r="H143" s="12" t="s">
        <v>119</v>
      </c>
    </row>
    <row r="144" spans="1:8" ht="12.75" customHeight="1">
      <c r="A144" s="17" t="s">
        <v>36</v>
      </c>
      <c r="B144" s="34" t="s">
        <v>37</v>
      </c>
      <c r="C144" s="91"/>
      <c r="D144" s="91"/>
      <c r="E144" s="91"/>
      <c r="F144" s="91"/>
      <c r="G144" s="85"/>
      <c r="H144" s="16"/>
    </row>
    <row r="145" spans="1:8" ht="12.75" customHeight="1">
      <c r="A145" s="17" t="s">
        <v>42</v>
      </c>
      <c r="B145" s="34" t="s">
        <v>37</v>
      </c>
      <c r="C145" s="91"/>
      <c r="D145" s="91"/>
      <c r="E145" s="91"/>
      <c r="F145" s="91"/>
      <c r="G145" s="85"/>
      <c r="H145" s="16"/>
    </row>
    <row r="146" spans="1:8" ht="12.75" customHeight="1">
      <c r="A146" s="17" t="s">
        <v>41</v>
      </c>
      <c r="B146" s="34" t="s">
        <v>37</v>
      </c>
      <c r="C146" s="63">
        <f>+B88*B89*B90*H25/1000</f>
        <v>28.79977634847472</v>
      </c>
      <c r="D146" s="63">
        <f>+B88*B89*B91*Q25/1000</f>
        <v>17.232558758655863</v>
      </c>
      <c r="E146" s="63">
        <f>+D146+C146</f>
        <v>46.03233510713058</v>
      </c>
      <c r="F146" s="95">
        <f aca="true" t="shared" si="41" ref="F146:F151">+E146/B$86</f>
        <v>0.2</v>
      </c>
      <c r="G146" s="85" t="s">
        <v>179</v>
      </c>
      <c r="H146" s="16"/>
    </row>
    <row r="147" spans="1:8" ht="12.75" customHeight="1">
      <c r="A147" s="17" t="s">
        <v>40</v>
      </c>
      <c r="B147" s="34" t="s">
        <v>37</v>
      </c>
      <c r="C147" s="63">
        <f>+C90*H25/1000</f>
        <v>115.19910539389888</v>
      </c>
      <c r="D147" s="63">
        <f>+C91*Q25/1000</f>
        <v>68.93023503462345</v>
      </c>
      <c r="E147" s="63">
        <f>+D147+C147</f>
        <v>184.1293404285223</v>
      </c>
      <c r="F147" s="95">
        <f t="shared" si="41"/>
        <v>0.8</v>
      </c>
      <c r="G147" s="85" t="s">
        <v>179</v>
      </c>
      <c r="H147" s="16"/>
    </row>
    <row r="148" spans="1:8" ht="12.75" customHeight="1">
      <c r="A148" s="17" t="s">
        <v>195</v>
      </c>
      <c r="B148" s="34" t="s">
        <v>37</v>
      </c>
      <c r="C148" s="63">
        <f>+C90*H62/1000</f>
        <v>63.193927138339866</v>
      </c>
      <c r="D148" s="63">
        <f>+C91*Q62/1000</f>
        <v>38.06855375771433</v>
      </c>
      <c r="E148" s="63">
        <f>+D148+C148</f>
        <v>101.2624808960542</v>
      </c>
      <c r="F148" s="95">
        <f t="shared" si="41"/>
        <v>0.4399623901780654</v>
      </c>
      <c r="G148" s="85" t="s">
        <v>179</v>
      </c>
      <c r="H148" s="16"/>
    </row>
    <row r="149" spans="1:8" ht="12.75" customHeight="1">
      <c r="A149" s="17" t="s">
        <v>148</v>
      </c>
      <c r="B149" s="34" t="s">
        <v>37</v>
      </c>
      <c r="C149" s="63">
        <f>+C147-C148</f>
        <v>52.00517825555901</v>
      </c>
      <c r="D149" s="22">
        <f>+D147-D148</f>
        <v>30.861681276909124</v>
      </c>
      <c r="E149" s="63">
        <f>+D149+C149</f>
        <v>82.86685953246814</v>
      </c>
      <c r="F149" s="95">
        <f t="shared" si="41"/>
        <v>0.3600376098219348</v>
      </c>
      <c r="G149" s="85" t="s">
        <v>179</v>
      </c>
      <c r="H149" s="16"/>
    </row>
    <row r="150" spans="1:8" ht="12.75" customHeight="1">
      <c r="A150" s="17" t="s">
        <v>34</v>
      </c>
      <c r="B150" s="34" t="s">
        <v>37</v>
      </c>
      <c r="C150" s="22">
        <f>+C144+C145+C146+C147</f>
        <v>143.99888174237358</v>
      </c>
      <c r="D150" s="63">
        <f>+D144+D145+D146+D147</f>
        <v>86.16279379327932</v>
      </c>
      <c r="E150" s="63">
        <f>+E144+E145+E146+E147</f>
        <v>230.16167553565288</v>
      </c>
      <c r="F150" s="95">
        <f t="shared" si="41"/>
        <v>1</v>
      </c>
      <c r="G150" s="85" t="s">
        <v>179</v>
      </c>
      <c r="H150" s="16"/>
    </row>
    <row r="151" spans="1:8" ht="12.75" customHeight="1">
      <c r="A151" s="17" t="s">
        <v>43</v>
      </c>
      <c r="B151" s="34" t="s">
        <v>37</v>
      </c>
      <c r="C151" s="22">
        <f>+C144+C145+C146+C148</f>
        <v>91.99370348681458</v>
      </c>
      <c r="D151" s="63">
        <f>+D144+D145+D146+D148</f>
        <v>55.30111251637019</v>
      </c>
      <c r="E151" s="63">
        <f>+E144+E145+E146+E148</f>
        <v>147.2948160031848</v>
      </c>
      <c r="F151" s="95">
        <f t="shared" si="41"/>
        <v>0.6399623901780654</v>
      </c>
      <c r="G151" s="85" t="s">
        <v>179</v>
      </c>
      <c r="H151" s="96">
        <f>+(F150-F151)/F150</f>
        <v>0.36003760982193456</v>
      </c>
    </row>
    <row r="152" ht="12.75" customHeight="1"/>
    <row r="153" ht="12.75" customHeight="1">
      <c r="C153" s="1" t="s">
        <v>39</v>
      </c>
    </row>
    <row r="154" spans="3:5" ht="12.75" customHeight="1">
      <c r="C154" s="25" t="s">
        <v>47</v>
      </c>
      <c r="D154" s="141">
        <f>+E150/(B$86*1000)*1000</f>
        <v>1</v>
      </c>
      <c r="E154" s="59" t="s">
        <v>180</v>
      </c>
    </row>
    <row r="155" spans="3:5" ht="12.75">
      <c r="C155" s="25" t="s">
        <v>189</v>
      </c>
      <c r="D155" s="141">
        <f>+E151/(B$86*1000)*1000</f>
        <v>0.6399623901780656</v>
      </c>
      <c r="E155" s="59" t="s">
        <v>180</v>
      </c>
    </row>
    <row r="157" spans="3:6" ht="12.75">
      <c r="C157" s="1" t="s">
        <v>92</v>
      </c>
      <c r="F157" s="25">
        <f>24000*0.0064</f>
        <v>153.6</v>
      </c>
    </row>
    <row r="158" spans="3:5" ht="12.75">
      <c r="C158" s="25" t="s">
        <v>47</v>
      </c>
      <c r="D158" s="51">
        <f>+E147/(B$88*(100%-$B$89))*1000</f>
        <v>19.180139627971073</v>
      </c>
      <c r="E158" s="59" t="s">
        <v>120</v>
      </c>
    </row>
    <row r="159" spans="3:5" ht="12.75">
      <c r="C159" s="25" t="s">
        <v>189</v>
      </c>
      <c r="D159" s="51">
        <f>+E148/(B$88*(100%-$B$89))*1000</f>
        <v>10.548175093338978</v>
      </c>
      <c r="E159" s="59" t="s">
        <v>120</v>
      </c>
    </row>
    <row r="160" ht="12.75">
      <c r="D160" s="66"/>
    </row>
    <row r="161" spans="3:4" ht="12.75">
      <c r="C161" s="1" t="s">
        <v>93</v>
      </c>
      <c r="D161" s="66"/>
    </row>
    <row r="162" spans="3:5" ht="12.75">
      <c r="C162" s="25" t="s">
        <v>47</v>
      </c>
      <c r="D162" s="51">
        <f>+(E147+E146)/B$88*1000</f>
        <v>19.180139627971073</v>
      </c>
      <c r="E162" s="59" t="s">
        <v>120</v>
      </c>
    </row>
    <row r="163" spans="3:5" ht="12.75">
      <c r="C163" s="25" t="s">
        <v>189</v>
      </c>
      <c r="D163" s="51">
        <f>+(E148+E146)/B$88*1000</f>
        <v>12.2745680002654</v>
      </c>
      <c r="E163" s="59" t="s">
        <v>120</v>
      </c>
    </row>
    <row r="165" spans="2:4" ht="12.75">
      <c r="B165" s="25" t="s">
        <v>121</v>
      </c>
      <c r="C165" s="84">
        <f>+R140/E149</f>
        <v>277.0040366903648</v>
      </c>
      <c r="D165" s="25" t="s">
        <v>94</v>
      </c>
    </row>
    <row r="166" spans="2:4" ht="12.75">
      <c r="B166" s="25" t="s">
        <v>122</v>
      </c>
      <c r="C166" s="84">
        <f>+R141/E149</f>
        <v>399.99999999999994</v>
      </c>
      <c r="D166" s="25" t="s">
        <v>95</v>
      </c>
    </row>
    <row r="167" spans="2:4" ht="12.75">
      <c r="B167" s="25" t="s">
        <v>123</v>
      </c>
      <c r="C167" s="84">
        <f>+C165-C166</f>
        <v>-122.99596330963516</v>
      </c>
      <c r="D167" s="25" t="s">
        <v>94</v>
      </c>
    </row>
    <row r="172" spans="1:9" ht="12.75">
      <c r="A172" s="100"/>
      <c r="B172" s="101"/>
      <c r="C172" s="170" t="s">
        <v>7</v>
      </c>
      <c r="D172" s="171"/>
      <c r="E172" s="172"/>
      <c r="F172" s="170" t="s">
        <v>8</v>
      </c>
      <c r="G172" s="171"/>
      <c r="H172" s="172"/>
      <c r="I172" s="165" t="s">
        <v>6</v>
      </c>
    </row>
    <row r="173" spans="1:9" ht="14.25" customHeight="1">
      <c r="A173" s="174"/>
      <c r="B173" s="174"/>
      <c r="C173" s="165" t="s">
        <v>125</v>
      </c>
      <c r="D173" s="165" t="s">
        <v>126</v>
      </c>
      <c r="E173" s="165" t="s">
        <v>91</v>
      </c>
      <c r="F173" s="165" t="s">
        <v>125</v>
      </c>
      <c r="G173" s="165" t="s">
        <v>126</v>
      </c>
      <c r="H173" s="102" t="s">
        <v>90</v>
      </c>
      <c r="I173" s="173"/>
    </row>
    <row r="174" spans="1:9" ht="12.75">
      <c r="A174" s="175"/>
      <c r="B174" s="175"/>
      <c r="C174" s="166"/>
      <c r="D174" s="166"/>
      <c r="E174" s="166"/>
      <c r="F174" s="166"/>
      <c r="G174" s="166"/>
      <c r="H174" s="103" t="s">
        <v>127</v>
      </c>
      <c r="I174" s="166"/>
    </row>
    <row r="175" spans="1:9" ht="14.25" customHeight="1">
      <c r="A175" s="167" t="s">
        <v>133</v>
      </c>
      <c r="B175" s="168"/>
      <c r="C175" s="168"/>
      <c r="D175" s="168"/>
      <c r="E175" s="168"/>
      <c r="F175" s="168"/>
      <c r="G175" s="168"/>
      <c r="H175" s="168"/>
      <c r="I175" s="169"/>
    </row>
    <row r="176" spans="1:9" ht="12.75" customHeight="1">
      <c r="A176" s="104" t="s">
        <v>2</v>
      </c>
      <c r="B176" s="105" t="s">
        <v>3</v>
      </c>
      <c r="C176" s="120">
        <f>+H96</f>
        <v>3840</v>
      </c>
      <c r="D176" s="120">
        <f>+H97</f>
        <v>3840</v>
      </c>
      <c r="E176" s="121">
        <f>+D176+C176</f>
        <v>7680</v>
      </c>
      <c r="F176" s="120">
        <f>+Q96</f>
        <v>5760</v>
      </c>
      <c r="G176" s="120">
        <f>+Q97</f>
        <v>5760</v>
      </c>
      <c r="H176" s="121">
        <f>+G176+F176</f>
        <v>11520</v>
      </c>
      <c r="I176" s="121">
        <f>+H176+E176</f>
        <v>19200</v>
      </c>
    </row>
    <row r="177" spans="1:9" ht="12.75" customHeight="1">
      <c r="A177" s="104" t="s">
        <v>12</v>
      </c>
      <c r="B177" s="105" t="s">
        <v>3</v>
      </c>
      <c r="C177" s="122">
        <f>+H100</f>
        <v>0</v>
      </c>
      <c r="D177" s="120">
        <f>+H101</f>
        <v>19200</v>
      </c>
      <c r="E177" s="121">
        <f>+D177+C177</f>
        <v>19200</v>
      </c>
      <c r="F177" s="120">
        <f>+Q100</f>
        <v>0</v>
      </c>
      <c r="G177" s="120">
        <f>+Q101</f>
        <v>28800</v>
      </c>
      <c r="H177" s="121">
        <f>+G177+F177</f>
        <v>28800</v>
      </c>
      <c r="I177" s="121">
        <f>+H177+E177</f>
        <v>48000</v>
      </c>
    </row>
    <row r="178" spans="1:9" ht="12.75" customHeight="1">
      <c r="A178" s="104" t="s">
        <v>161</v>
      </c>
      <c r="B178" s="105" t="s">
        <v>15</v>
      </c>
      <c r="C178" s="120">
        <f>+H104</f>
        <v>0</v>
      </c>
      <c r="D178" s="120">
        <f>+H105</f>
        <v>1920</v>
      </c>
      <c r="E178" s="121">
        <f>+D178+C178</f>
        <v>1920</v>
      </c>
      <c r="F178" s="120">
        <f>+Q104</f>
        <v>0</v>
      </c>
      <c r="G178" s="120">
        <f>+Q105</f>
        <v>1267.2</v>
      </c>
      <c r="H178" s="121">
        <f>+G178+F178</f>
        <v>1267.2</v>
      </c>
      <c r="I178" s="121">
        <f>+H178+E178</f>
        <v>3187.2</v>
      </c>
    </row>
    <row r="179" spans="1:9" ht="12.75" customHeight="1">
      <c r="A179" s="104" t="s">
        <v>162</v>
      </c>
      <c r="B179" s="105" t="s">
        <v>16</v>
      </c>
      <c r="C179" s="120">
        <f>+H108</f>
        <v>4031.999999999999</v>
      </c>
      <c r="D179" s="120">
        <f>+H109</f>
        <v>4031.999999999999</v>
      </c>
      <c r="E179" s="121">
        <f>+D179+C179</f>
        <v>8063.999999999998</v>
      </c>
      <c r="F179" s="120">
        <f>+Q108</f>
        <v>3023.9999999999995</v>
      </c>
      <c r="G179" s="120">
        <f>+Q109</f>
        <v>3023.9999999999995</v>
      </c>
      <c r="H179" s="121">
        <f>+G179+F179</f>
        <v>6047.999999999999</v>
      </c>
      <c r="I179" s="121">
        <f>+H179+E179</f>
        <v>14111.999999999996</v>
      </c>
    </row>
    <row r="180" spans="1:9" ht="12.75" customHeight="1">
      <c r="A180" s="104" t="s">
        <v>163</v>
      </c>
      <c r="B180" s="105" t="s">
        <v>128</v>
      </c>
      <c r="C180" s="120">
        <f>+HC112</f>
        <v>0</v>
      </c>
      <c r="D180" s="120">
        <f>+H113</f>
        <v>480</v>
      </c>
      <c r="E180" s="121">
        <f>+D180+C180</f>
        <v>480</v>
      </c>
      <c r="F180" s="120">
        <f>+Q112</f>
        <v>0</v>
      </c>
      <c r="G180" s="120">
        <f>+Q113</f>
        <v>316.8</v>
      </c>
      <c r="H180" s="121">
        <f>+G180+F180</f>
        <v>316.8</v>
      </c>
      <c r="I180" s="121">
        <f>+H180+E180</f>
        <v>796.8</v>
      </c>
    </row>
    <row r="181" spans="1:9" ht="12.75" customHeight="1">
      <c r="A181" s="107" t="s">
        <v>54</v>
      </c>
      <c r="B181" s="108" t="s">
        <v>3</v>
      </c>
      <c r="C181" s="121">
        <f aca="true" t="shared" si="42" ref="C181:I181">SUM(C176:C180)</f>
        <v>7871.999999999999</v>
      </c>
      <c r="D181" s="121">
        <f t="shared" si="42"/>
        <v>29472</v>
      </c>
      <c r="E181" s="121">
        <f t="shared" si="42"/>
        <v>37344</v>
      </c>
      <c r="F181" s="121">
        <f t="shared" si="42"/>
        <v>8784</v>
      </c>
      <c r="G181" s="121">
        <f t="shared" si="42"/>
        <v>39168</v>
      </c>
      <c r="H181" s="121">
        <f t="shared" si="42"/>
        <v>47952</v>
      </c>
      <c r="I181" s="158">
        <f t="shared" si="42"/>
        <v>85296</v>
      </c>
    </row>
    <row r="182" spans="1:9" ht="12.75" customHeight="1">
      <c r="A182" s="104" t="s">
        <v>129</v>
      </c>
      <c r="B182" s="105" t="s">
        <v>4</v>
      </c>
      <c r="C182" s="123"/>
      <c r="D182" s="123"/>
      <c r="E182" s="121">
        <f>0.1233*E181</f>
        <v>4604.5152</v>
      </c>
      <c r="F182" s="121"/>
      <c r="G182" s="121"/>
      <c r="H182" s="121">
        <f>0.1233*H181</f>
        <v>5912.4816</v>
      </c>
      <c r="I182" s="121">
        <f>0.1233*I181</f>
        <v>10516.9968</v>
      </c>
    </row>
    <row r="183" spans="1:9" ht="12.75" customHeight="1">
      <c r="A183" s="126" t="s">
        <v>130</v>
      </c>
      <c r="B183" s="126"/>
      <c r="C183" s="127"/>
      <c r="D183" s="127"/>
      <c r="E183" s="127"/>
      <c r="F183" s="127"/>
      <c r="G183" s="127"/>
      <c r="H183" s="127"/>
      <c r="I183" s="127"/>
    </row>
    <row r="184" spans="1:9" ht="12.75" customHeight="1">
      <c r="A184" s="107" t="s">
        <v>135</v>
      </c>
      <c r="B184" s="106"/>
      <c r="C184" s="123"/>
      <c r="D184" s="123"/>
      <c r="E184" s="123"/>
      <c r="F184" s="123"/>
      <c r="G184" s="123"/>
      <c r="H184" s="123"/>
      <c r="I184" s="123"/>
    </row>
    <row r="185" spans="1:9" ht="12.75" customHeight="1">
      <c r="A185" s="104" t="s">
        <v>131</v>
      </c>
      <c r="B185" s="105" t="s">
        <v>4</v>
      </c>
      <c r="C185" s="120">
        <f>+H121</f>
        <v>0</v>
      </c>
      <c r="D185" s="120">
        <f>+H122</f>
        <v>3840.0000000000005</v>
      </c>
      <c r="E185" s="120">
        <f>+D185+C185</f>
        <v>3840.0000000000005</v>
      </c>
      <c r="F185" s="120">
        <f>+Q121</f>
        <v>0</v>
      </c>
      <c r="G185" s="120">
        <f>+Q122</f>
        <v>5760</v>
      </c>
      <c r="H185" s="121">
        <f>+G185+F185</f>
        <v>5760</v>
      </c>
      <c r="I185" s="121">
        <f>+H185+E185</f>
        <v>9600</v>
      </c>
    </row>
    <row r="186" spans="1:9" ht="12.75" customHeight="1">
      <c r="A186" s="104" t="s">
        <v>161</v>
      </c>
      <c r="B186" s="105" t="s">
        <v>4</v>
      </c>
      <c r="C186" s="120">
        <f>+H125</f>
        <v>0</v>
      </c>
      <c r="D186" s="120">
        <f>+H126</f>
        <v>285.6192</v>
      </c>
      <c r="E186" s="120">
        <f>+D186+C186</f>
        <v>285.6192</v>
      </c>
      <c r="F186" s="120">
        <f>+Q125</f>
        <v>0</v>
      </c>
      <c r="G186" s="120">
        <f>+Q126</f>
        <v>184.94207999999998</v>
      </c>
      <c r="H186" s="121">
        <f>+G186+F186</f>
        <v>184.94207999999998</v>
      </c>
      <c r="I186" s="121">
        <f aca="true" t="shared" si="43" ref="I186:I191">+H186+E186</f>
        <v>470.56127999999995</v>
      </c>
    </row>
    <row r="187" spans="1:9" ht="12.75" customHeight="1">
      <c r="A187" s="104" t="s">
        <v>164</v>
      </c>
      <c r="B187" s="105" t="s">
        <v>4</v>
      </c>
      <c r="C187" s="120">
        <f>+H129</f>
        <v>642.6446280991736</v>
      </c>
      <c r="D187" s="120">
        <f>+H130</f>
        <v>642.6446280991736</v>
      </c>
      <c r="E187" s="120">
        <f>+D187+C187</f>
        <v>1285.2892561983472</v>
      </c>
      <c r="F187" s="120">
        <f>+Q129</f>
        <v>481.9834710743802</v>
      </c>
      <c r="G187" s="120">
        <f>+Q130</f>
        <v>481.9834710743802</v>
      </c>
      <c r="H187" s="121">
        <f>+G187+F187</f>
        <v>963.9669421487604</v>
      </c>
      <c r="I187" s="121">
        <f t="shared" si="43"/>
        <v>2249.256198347108</v>
      </c>
    </row>
    <row r="188" spans="1:9" ht="12.75" customHeight="1">
      <c r="A188" s="104" t="s">
        <v>136</v>
      </c>
      <c r="B188" s="105" t="s">
        <v>4</v>
      </c>
      <c r="C188" s="120">
        <f>+H133</f>
        <v>0</v>
      </c>
      <c r="D188" s="120">
        <f>+H134</f>
        <v>71.4048</v>
      </c>
      <c r="E188" s="120">
        <f>+D188+C188</f>
        <v>71.4048</v>
      </c>
      <c r="F188" s="120">
        <f>+Q133</f>
        <v>0</v>
      </c>
      <c r="G188" s="120">
        <f>+Q134</f>
        <v>46.235519999999994</v>
      </c>
      <c r="H188" s="121">
        <f>+G188+F188</f>
        <v>46.235519999999994</v>
      </c>
      <c r="I188" s="121">
        <f t="shared" si="43"/>
        <v>117.64031999999999</v>
      </c>
    </row>
    <row r="189" spans="1:9" ht="12.75" customHeight="1">
      <c r="A189" s="107" t="s">
        <v>20</v>
      </c>
      <c r="B189" s="108" t="s">
        <v>4</v>
      </c>
      <c r="C189" s="121">
        <f aca="true" t="shared" si="44" ref="C189:H189">SUM(C185:C188)</f>
        <v>642.6446280991736</v>
      </c>
      <c r="D189" s="121">
        <f t="shared" si="44"/>
        <v>4839.668628099174</v>
      </c>
      <c r="E189" s="121">
        <f t="shared" si="44"/>
        <v>5482.3132561983475</v>
      </c>
      <c r="F189" s="121">
        <f t="shared" si="44"/>
        <v>481.9834710743802</v>
      </c>
      <c r="G189" s="121">
        <f t="shared" si="44"/>
        <v>6473.16107107438</v>
      </c>
      <c r="H189" s="121">
        <f t="shared" si="44"/>
        <v>6955.144542148761</v>
      </c>
      <c r="I189" s="158">
        <f t="shared" si="43"/>
        <v>12437.457798347108</v>
      </c>
    </row>
    <row r="190" spans="1:9" s="1" customFormat="1" ht="12.75" customHeight="1">
      <c r="A190" s="107" t="s">
        <v>132</v>
      </c>
      <c r="B190" s="108" t="s">
        <v>4</v>
      </c>
      <c r="C190" s="124"/>
      <c r="D190" s="124"/>
      <c r="E190" s="121">
        <f>+H140</f>
        <v>10086.828456198347</v>
      </c>
      <c r="F190" s="124"/>
      <c r="G190" s="124"/>
      <c r="H190" s="121">
        <f>+Q140</f>
        <v>12867.626142148762</v>
      </c>
      <c r="I190" s="121">
        <f t="shared" si="43"/>
        <v>22954.45459834711</v>
      </c>
    </row>
    <row r="191" spans="1:9" ht="12.75" customHeight="1">
      <c r="A191" s="109" t="s">
        <v>22</v>
      </c>
      <c r="B191" s="110" t="s">
        <v>4</v>
      </c>
      <c r="C191" s="123"/>
      <c r="D191" s="123"/>
      <c r="E191" s="125">
        <f>+H141</f>
        <v>20802.071302223605</v>
      </c>
      <c r="F191" s="123"/>
      <c r="G191" s="123"/>
      <c r="H191" s="121">
        <f>+Q141</f>
        <v>12344.67251076365</v>
      </c>
      <c r="I191" s="158">
        <f t="shared" si="43"/>
        <v>33146.74381298725</v>
      </c>
    </row>
  </sheetData>
  <mergeCells count="11">
    <mergeCell ref="F173:F174"/>
    <mergeCell ref="G173:G174"/>
    <mergeCell ref="A175:I175"/>
    <mergeCell ref="C172:E172"/>
    <mergeCell ref="F172:H172"/>
    <mergeCell ref="I172:I174"/>
    <mergeCell ref="A173:A174"/>
    <mergeCell ref="B173:B174"/>
    <mergeCell ref="C173:C174"/>
    <mergeCell ref="D173:D174"/>
    <mergeCell ref="E173:E174"/>
  </mergeCells>
  <printOptions/>
  <pageMargins left="0.75" right="0.75" top="1" bottom="1" header="0.4921259845" footer="0.4921259845"/>
  <pageSetup fitToHeight="0" fitToWidth="2" orientation="landscape" paperSize="9" scale="72" r:id="rId2"/>
  <headerFooter alignWithMargins="0">
    <oddHeader>&amp;L&amp;P/&amp;N&amp;R&amp;F/&amp;A</oddHeader>
  </headerFooter>
  <rowBreaks count="4" manualBreakCount="4">
    <brk id="38" max="17" man="1"/>
    <brk id="62" max="17" man="1"/>
    <brk id="92" max="17" man="1"/>
    <brk id="142" max="17" man="1"/>
  </rowBreaks>
  <colBreaks count="1" manualBreakCount="1">
    <brk id="9" max="19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8"/>
  <sheetViews>
    <sheetView workbookViewId="0" topLeftCell="E140">
      <selection activeCell="I186" sqref="I186"/>
    </sheetView>
  </sheetViews>
  <sheetFormatPr defaultColWidth="11.421875" defaultRowHeight="12.75"/>
  <cols>
    <col min="1" max="1" width="50.28125" style="25" customWidth="1"/>
    <col min="2" max="2" width="15.57421875" style="25" customWidth="1"/>
    <col min="3" max="3" width="12.421875" style="25" customWidth="1"/>
    <col min="4" max="6" width="15.421875" style="25" customWidth="1"/>
    <col min="7" max="8" width="13.00390625" style="25" customWidth="1"/>
    <col min="9" max="9" width="17.421875" style="25" customWidth="1"/>
    <col min="10" max="10" width="47.140625" style="25" customWidth="1"/>
    <col min="11" max="11" width="17.7109375" style="25" customWidth="1"/>
    <col min="12" max="12" width="12.140625" style="25" customWidth="1"/>
    <col min="13" max="13" width="13.57421875" style="25" customWidth="1"/>
    <col min="14" max="14" width="14.140625" style="25" customWidth="1"/>
    <col min="15" max="15" width="15.421875" style="25" customWidth="1"/>
    <col min="16" max="16" width="12.8515625" style="25" customWidth="1"/>
    <col min="17" max="17" width="13.57421875" style="25" customWidth="1"/>
    <col min="18" max="18" width="13.00390625" style="25" customWidth="1"/>
    <col min="19" max="33" width="11.421875" style="25" customWidth="1"/>
    <col min="34" max="16384" width="15.421875" style="25" customWidth="1"/>
  </cols>
  <sheetData>
    <row r="1" spans="1:11" ht="12.75">
      <c r="A1" s="1" t="s">
        <v>182</v>
      </c>
      <c r="B1" s="25" t="s">
        <v>7</v>
      </c>
      <c r="J1" s="1" t="s">
        <v>182</v>
      </c>
      <c r="K1" s="25" t="s">
        <v>8</v>
      </c>
    </row>
    <row r="3" ht="12.75">
      <c r="K3" s="26"/>
    </row>
    <row r="4" spans="1:16" s="1" customFormat="1" ht="12.75">
      <c r="A4" s="14" t="s">
        <v>57</v>
      </c>
      <c r="B4" s="14"/>
      <c r="C4" s="24" t="s">
        <v>51</v>
      </c>
      <c r="D4" s="24" t="s">
        <v>58</v>
      </c>
      <c r="E4" s="24" t="s">
        <v>59</v>
      </c>
      <c r="F4" s="24" t="s">
        <v>108</v>
      </c>
      <c r="G4" s="24" t="s">
        <v>52</v>
      </c>
      <c r="J4" s="14" t="s">
        <v>57</v>
      </c>
      <c r="K4" s="14"/>
      <c r="L4" s="24" t="s">
        <v>51</v>
      </c>
      <c r="M4" s="24" t="s">
        <v>58</v>
      </c>
      <c r="N4" s="24" t="s">
        <v>59</v>
      </c>
      <c r="O4" s="24" t="s">
        <v>108</v>
      </c>
      <c r="P4" s="24" t="s">
        <v>52</v>
      </c>
    </row>
    <row r="5" spans="1:16" ht="12.75">
      <c r="A5" s="28" t="s">
        <v>99</v>
      </c>
      <c r="B5" s="16"/>
      <c r="C5" s="113">
        <f>+'PMC 01'!C5</f>
        <v>100</v>
      </c>
      <c r="D5" s="113">
        <f>+'PMC 01'!D5</f>
        <v>3500</v>
      </c>
      <c r="E5" s="113">
        <f>+'PMC 01'!E5</f>
        <v>7000</v>
      </c>
      <c r="F5" s="113">
        <f>+'PMC 01'!F5</f>
        <v>55000</v>
      </c>
      <c r="G5" s="16" t="s">
        <v>98</v>
      </c>
      <c r="J5" s="28" t="s">
        <v>99</v>
      </c>
      <c r="K5" s="28"/>
      <c r="L5" s="113">
        <f>+'PMC 01'!L5</f>
        <v>97.5</v>
      </c>
      <c r="M5" s="113">
        <f>+'PMC 01'!M5</f>
        <v>3000</v>
      </c>
      <c r="N5" s="113">
        <f>+'PMC 01'!N5</f>
        <v>6500</v>
      </c>
      <c r="O5" s="113">
        <f>+'PMC 01'!O5</f>
        <v>43000</v>
      </c>
      <c r="P5" s="16" t="s">
        <v>98</v>
      </c>
    </row>
    <row r="6" spans="1:16" ht="12.75">
      <c r="A6" s="28" t="s">
        <v>100</v>
      </c>
      <c r="B6" s="28"/>
      <c r="C6" s="28"/>
      <c r="D6" s="28"/>
      <c r="E6" s="28"/>
      <c r="F6" s="28"/>
      <c r="G6" s="28"/>
      <c r="J6" s="28" t="s">
        <v>100</v>
      </c>
      <c r="K6" s="28"/>
      <c r="L6" s="28"/>
      <c r="M6" s="28"/>
      <c r="N6" s="28"/>
      <c r="O6" s="28"/>
      <c r="P6" s="28"/>
    </row>
    <row r="7" spans="1:16" ht="12.75">
      <c r="A7" s="16" t="s">
        <v>49</v>
      </c>
      <c r="B7" s="16" t="s">
        <v>50</v>
      </c>
      <c r="C7" s="30">
        <f>1.87*0.000001*C5^0.873</f>
        <v>0.00010419373505027089</v>
      </c>
      <c r="D7" s="30">
        <f>1.87*0.000001*D5^0.873</f>
        <v>0.0023217369291838597</v>
      </c>
      <c r="E7" s="30">
        <f>1.87*0.000001*E5^0.873</f>
        <v>0.004252185434109273</v>
      </c>
      <c r="F7" s="30">
        <f>1.87*0.000001*F5^0.873</f>
        <v>0.02571450889748089</v>
      </c>
      <c r="G7" s="114">
        <f>+'PMC 01'!G7</f>
        <v>0.11</v>
      </c>
      <c r="J7" s="16" t="s">
        <v>49</v>
      </c>
      <c r="K7" s="16" t="s">
        <v>50</v>
      </c>
      <c r="L7" s="30">
        <f>1.87*0.000001*L5^0.873</f>
        <v>0.0001019160624009378</v>
      </c>
      <c r="M7" s="30">
        <f>1.87*0.000001*M5^0.873</f>
        <v>0.0020294037657179053</v>
      </c>
      <c r="N7" s="30">
        <f>1.87*0.000001*N5^0.873</f>
        <v>0.003985795081341449</v>
      </c>
      <c r="O7" s="30">
        <f>1.87*0.000001*O5^0.873</f>
        <v>0.020742426901068457</v>
      </c>
      <c r="P7" s="114">
        <f>+'PMC 01'!P7</f>
        <v>0.11</v>
      </c>
    </row>
    <row r="8" spans="1:16" ht="12.75">
      <c r="A8" s="16" t="s">
        <v>101</v>
      </c>
      <c r="B8" s="16" t="s">
        <v>50</v>
      </c>
      <c r="C8" s="30">
        <f>6.41*0.000001*C5^0.797</f>
        <v>0.0002516854035911436</v>
      </c>
      <c r="D8" s="30">
        <f>6.41*0.000001*D5^0.797</f>
        <v>0.004280359644661665</v>
      </c>
      <c r="E8" s="30">
        <f>6.41*0.000001*E5^0.797</f>
        <v>0.007437057981867841</v>
      </c>
      <c r="F8" s="30">
        <f>6.41*0.000001*F5^0.797</f>
        <v>0.038452722432423245</v>
      </c>
      <c r="G8" s="114">
        <f>+'PMC 01'!G8</f>
        <v>0.15</v>
      </c>
      <c r="J8" s="16" t="s">
        <v>101</v>
      </c>
      <c r="K8" s="16" t="s">
        <v>50</v>
      </c>
      <c r="L8" s="30">
        <f>6.41*0.000001*L5^0.797</f>
        <v>0.00024665771743465005</v>
      </c>
      <c r="M8" s="30">
        <f>6.41*0.000001*M5^0.797</f>
        <v>0.0037855036522766294</v>
      </c>
      <c r="N8" s="30">
        <f>6.41*0.000001*N5^0.797</f>
        <v>0.007010515837513619</v>
      </c>
      <c r="O8" s="30">
        <f>6.41*0.000001*O5^0.797</f>
        <v>0.03160329671284086</v>
      </c>
      <c r="P8" s="114">
        <f>+'PMC 01'!P8</f>
        <v>0.15</v>
      </c>
    </row>
    <row r="9" spans="1:16" ht="12.75">
      <c r="A9" s="16" t="s">
        <v>102</v>
      </c>
      <c r="B9" s="16" t="s">
        <v>50</v>
      </c>
      <c r="C9" s="30">
        <f>1.9*0.00001*C5^0.824</f>
        <v>0.0008447994081913066</v>
      </c>
      <c r="D9" s="30">
        <f>1.9*0.00001*D5^0.824</f>
        <v>0.015814871572412525</v>
      </c>
      <c r="E9" s="30">
        <f>1.9*0.00001*E5^0.824</f>
        <v>0.02799718621732595</v>
      </c>
      <c r="F9" s="30">
        <f>1.9*0.00001*F5^0.824</f>
        <v>0.15304264295707065</v>
      </c>
      <c r="G9" s="114">
        <f>+'PMC 01'!G9</f>
        <v>0.62</v>
      </c>
      <c r="J9" s="16" t="s">
        <v>102</v>
      </c>
      <c r="K9" s="16" t="s">
        <v>50</v>
      </c>
      <c r="L9" s="30">
        <f>1.9*0.00001*L5^0.824</f>
        <v>0.000827357873682288</v>
      </c>
      <c r="M9" s="30">
        <f>1.9*0.00001*M5^0.824</f>
        <v>0.013928409119590366</v>
      </c>
      <c r="N9" s="30">
        <f>1.9*0.00001*N5^0.824</f>
        <v>0.026338692186075638</v>
      </c>
      <c r="O9" s="30">
        <f>1.9*0.00001*O5^0.824</f>
        <v>0.1249486615572774</v>
      </c>
      <c r="P9" s="114">
        <f>+'PMC 01'!P9</f>
        <v>0.62</v>
      </c>
    </row>
    <row r="10" spans="1:16" ht="12.75">
      <c r="A10" s="16" t="s">
        <v>103</v>
      </c>
      <c r="B10" s="16" t="s">
        <v>50</v>
      </c>
      <c r="C10" s="30">
        <f>3.05*0.000001*C5^0.885</f>
        <v>0.00017959731488345477</v>
      </c>
      <c r="D10" s="30">
        <f>3.05*0.000001*D5^0.885</f>
        <v>0.004176380493003961</v>
      </c>
      <c r="E10" s="30">
        <f>3.05*0.000001*E5^0.885</f>
        <v>0.0077127917402303355</v>
      </c>
      <c r="F10" s="30">
        <f>3.05*0.000001*F5^0.885</f>
        <v>0.047810228524175345</v>
      </c>
      <c r="G10" s="114">
        <f>+'PMC 01'!G10</f>
        <v>0.22</v>
      </c>
      <c r="J10" s="16" t="s">
        <v>103</v>
      </c>
      <c r="K10" s="16" t="s">
        <v>50</v>
      </c>
      <c r="L10" s="30">
        <f>3.05*0.000001*L5^0.885</f>
        <v>0.00017561795846814918</v>
      </c>
      <c r="M10" s="30">
        <f>3.05*0.000001*M5^0.885</f>
        <v>0.003643780016938916</v>
      </c>
      <c r="N10" s="30">
        <f>3.05*0.000001*N5^0.885</f>
        <v>0.007223175383976949</v>
      </c>
      <c r="O10" s="30">
        <f>3.05*0.000001*O5^0.885</f>
        <v>0.038452043286271595</v>
      </c>
      <c r="P10" s="114">
        <f>+'PMC 01'!P10</f>
        <v>0.22</v>
      </c>
    </row>
    <row r="11" spans="1:16" ht="12.75">
      <c r="A11" s="16" t="s">
        <v>104</v>
      </c>
      <c r="B11" s="16" t="s">
        <v>50</v>
      </c>
      <c r="C11" s="30">
        <f>+(C9+C8)/2</f>
        <v>0.0005482424058912251</v>
      </c>
      <c r="D11" s="30">
        <f>+(D9+D8)/2</f>
        <v>0.010047615608537095</v>
      </c>
      <c r="E11" s="30">
        <f>+(E9+E8)/2</f>
        <v>0.017717122099596895</v>
      </c>
      <c r="F11" s="30">
        <f>+(F9+F8)/2</f>
        <v>0.09574768269474696</v>
      </c>
      <c r="G11" s="32">
        <f>+(G9+G8)/2</f>
        <v>0.385</v>
      </c>
      <c r="J11" s="16" t="s">
        <v>104</v>
      </c>
      <c r="K11" s="16" t="s">
        <v>50</v>
      </c>
      <c r="L11" s="30">
        <f>+(L9+L8)/2</f>
        <v>0.0005370077955584691</v>
      </c>
      <c r="M11" s="30">
        <f>+(M9+M8)/2</f>
        <v>0.008856956385933498</v>
      </c>
      <c r="N11" s="30">
        <f>+(N9+N8)/2</f>
        <v>0.01667460401179463</v>
      </c>
      <c r="O11" s="30">
        <f>+(O9+O8)/2</f>
        <v>0.07827597913505913</v>
      </c>
      <c r="P11" s="32">
        <f>+(P9+P8)/2</f>
        <v>0.385</v>
      </c>
    </row>
    <row r="12" spans="1:16" ht="12.75">
      <c r="A12" s="67" t="s">
        <v>155</v>
      </c>
      <c r="B12" s="16">
        <v>8600</v>
      </c>
      <c r="C12" s="33" t="s">
        <v>63</v>
      </c>
      <c r="D12" s="16"/>
      <c r="E12" s="16"/>
      <c r="F12" s="16"/>
      <c r="G12" s="34"/>
      <c r="J12" s="67" t="s">
        <v>155</v>
      </c>
      <c r="K12" s="16">
        <v>8600</v>
      </c>
      <c r="L12" s="33" t="s">
        <v>63</v>
      </c>
      <c r="M12" s="16"/>
      <c r="N12" s="16"/>
      <c r="O12" s="16"/>
      <c r="P12" s="34"/>
    </row>
    <row r="13" spans="1:16" ht="12.75">
      <c r="A13" s="16" t="s">
        <v>49</v>
      </c>
      <c r="B13" s="16" t="s">
        <v>61</v>
      </c>
      <c r="C13" s="35">
        <f aca="true" t="shared" si="0" ref="C13:G16">+C7*$B$12</f>
        <v>0.8960661214323297</v>
      </c>
      <c r="D13" s="35">
        <f t="shared" si="0"/>
        <v>19.966937590981193</v>
      </c>
      <c r="E13" s="35">
        <f t="shared" si="0"/>
        <v>36.56879473333975</v>
      </c>
      <c r="F13" s="35">
        <f t="shared" si="0"/>
        <v>221.14477651833565</v>
      </c>
      <c r="G13" s="35">
        <f t="shared" si="0"/>
        <v>946</v>
      </c>
      <c r="J13" s="16" t="s">
        <v>49</v>
      </c>
      <c r="K13" s="16" t="s">
        <v>61</v>
      </c>
      <c r="L13" s="35">
        <f aca="true" t="shared" si="1" ref="L13:P16">+L7*$B$12</f>
        <v>0.8764781366480651</v>
      </c>
      <c r="M13" s="35">
        <f t="shared" si="1"/>
        <v>17.452872385173986</v>
      </c>
      <c r="N13" s="35">
        <f t="shared" si="1"/>
        <v>34.277837699536455</v>
      </c>
      <c r="O13" s="35">
        <f t="shared" si="1"/>
        <v>178.38487134918873</v>
      </c>
      <c r="P13" s="35">
        <f t="shared" si="1"/>
        <v>946</v>
      </c>
    </row>
    <row r="14" spans="1:16" ht="12.75">
      <c r="A14" s="16" t="s">
        <v>101</v>
      </c>
      <c r="B14" s="16" t="s">
        <v>61</v>
      </c>
      <c r="C14" s="35">
        <f t="shared" si="0"/>
        <v>2.164494470883835</v>
      </c>
      <c r="D14" s="35">
        <f t="shared" si="0"/>
        <v>36.81109294409032</v>
      </c>
      <c r="E14" s="35">
        <f t="shared" si="0"/>
        <v>63.95869864406343</v>
      </c>
      <c r="F14" s="35">
        <f t="shared" si="0"/>
        <v>330.6934129188399</v>
      </c>
      <c r="G14" s="35">
        <f t="shared" si="0"/>
        <v>1290</v>
      </c>
      <c r="J14" s="16" t="s">
        <v>101</v>
      </c>
      <c r="K14" s="16" t="s">
        <v>61</v>
      </c>
      <c r="L14" s="35">
        <f t="shared" si="1"/>
        <v>2.1212563699379903</v>
      </c>
      <c r="M14" s="35">
        <f t="shared" si="1"/>
        <v>32.55533140957901</v>
      </c>
      <c r="N14" s="35">
        <f t="shared" si="1"/>
        <v>60.29043620261713</v>
      </c>
      <c r="O14" s="35">
        <f t="shared" si="1"/>
        <v>271.7883517304314</v>
      </c>
      <c r="P14" s="35">
        <f t="shared" si="1"/>
        <v>1290</v>
      </c>
    </row>
    <row r="15" spans="1:16" ht="12.75">
      <c r="A15" s="16" t="s">
        <v>102</v>
      </c>
      <c r="B15" s="16" t="s">
        <v>61</v>
      </c>
      <c r="C15" s="35">
        <f t="shared" si="0"/>
        <v>7.265274910445237</v>
      </c>
      <c r="D15" s="35">
        <f t="shared" si="0"/>
        <v>136.0078955227477</v>
      </c>
      <c r="E15" s="35">
        <f t="shared" si="0"/>
        <v>240.77580146900317</v>
      </c>
      <c r="F15" s="35">
        <f t="shared" si="0"/>
        <v>1316.1667294308077</v>
      </c>
      <c r="G15" s="35">
        <f t="shared" si="0"/>
        <v>5332</v>
      </c>
      <c r="J15" s="16" t="s">
        <v>102</v>
      </c>
      <c r="K15" s="16" t="s">
        <v>61</v>
      </c>
      <c r="L15" s="35">
        <f t="shared" si="1"/>
        <v>7.115277713667677</v>
      </c>
      <c r="M15" s="35">
        <f t="shared" si="1"/>
        <v>119.78431842847715</v>
      </c>
      <c r="N15" s="35">
        <f t="shared" si="1"/>
        <v>226.5127528002505</v>
      </c>
      <c r="O15" s="35">
        <f t="shared" si="1"/>
        <v>1074.5584893925857</v>
      </c>
      <c r="P15" s="35">
        <f t="shared" si="1"/>
        <v>5332</v>
      </c>
    </row>
    <row r="16" spans="1:16" ht="12.75">
      <c r="A16" s="16" t="s">
        <v>103</v>
      </c>
      <c r="B16" s="16" t="s">
        <v>61</v>
      </c>
      <c r="C16" s="35">
        <f t="shared" si="0"/>
        <v>1.544536907997711</v>
      </c>
      <c r="D16" s="35">
        <f t="shared" si="0"/>
        <v>35.91687223983406</v>
      </c>
      <c r="E16" s="35">
        <f t="shared" si="0"/>
        <v>66.33000896598088</v>
      </c>
      <c r="F16" s="35">
        <f t="shared" si="0"/>
        <v>411.167965307908</v>
      </c>
      <c r="G16" s="35">
        <f t="shared" si="0"/>
        <v>1892</v>
      </c>
      <c r="J16" s="16" t="s">
        <v>103</v>
      </c>
      <c r="K16" s="16" t="s">
        <v>61</v>
      </c>
      <c r="L16" s="35">
        <f t="shared" si="1"/>
        <v>1.5103144428260828</v>
      </c>
      <c r="M16" s="35">
        <f t="shared" si="1"/>
        <v>31.336508145674678</v>
      </c>
      <c r="N16" s="35">
        <f t="shared" si="1"/>
        <v>62.119308302201766</v>
      </c>
      <c r="O16" s="35">
        <f t="shared" si="1"/>
        <v>330.6875722619357</v>
      </c>
      <c r="P16" s="35">
        <f t="shared" si="1"/>
        <v>1892</v>
      </c>
    </row>
    <row r="17" spans="1:16" ht="12.75">
      <c r="A17" s="16" t="s">
        <v>104</v>
      </c>
      <c r="B17" s="16" t="s">
        <v>61</v>
      </c>
      <c r="C17" s="35">
        <f>+C14*0.75+C15*0.25</f>
        <v>3.4396895807741856</v>
      </c>
      <c r="D17" s="35">
        <f>+D14*0.75+D15*0.25</f>
        <v>61.610293588754665</v>
      </c>
      <c r="E17" s="35">
        <f>+E14*0.75+E15*0.25</f>
        <v>108.16297435029837</v>
      </c>
      <c r="F17" s="35">
        <f>+F14*0.75+F15*0.25</f>
        <v>577.0617420468318</v>
      </c>
      <c r="G17" s="35">
        <f>+G14*0.75+G15*0.25</f>
        <v>2300.5</v>
      </c>
      <c r="J17" s="16" t="s">
        <v>103</v>
      </c>
      <c r="K17" s="16" t="s">
        <v>61</v>
      </c>
      <c r="L17" s="35">
        <f>+L16</f>
        <v>1.5103144428260828</v>
      </c>
      <c r="M17" s="35">
        <f>+M16</f>
        <v>31.336508145674678</v>
      </c>
      <c r="N17" s="35">
        <f>+N16</f>
        <v>62.119308302201766</v>
      </c>
      <c r="O17" s="35">
        <f>+O16</f>
        <v>330.6875722619357</v>
      </c>
      <c r="P17" s="35">
        <f>+P16</f>
        <v>1892</v>
      </c>
    </row>
    <row r="18" spans="1:256" ht="12.75">
      <c r="A18" s="68"/>
      <c r="B18" s="68"/>
      <c r="C18" s="68"/>
      <c r="D18" s="68"/>
      <c r="E18" s="68"/>
      <c r="F18" s="68"/>
      <c r="G18" s="68"/>
      <c r="J18" s="68"/>
      <c r="K18" s="68"/>
      <c r="L18" s="68"/>
      <c r="M18" s="68"/>
      <c r="N18" s="68"/>
      <c r="O18" s="68"/>
      <c r="P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11" ht="12.75">
      <c r="A19" s="25" t="s">
        <v>65</v>
      </c>
      <c r="B19" s="115">
        <f>+'PMC 01'!B19</f>
        <v>0.3</v>
      </c>
      <c r="J19" s="25" t="s">
        <v>65</v>
      </c>
      <c r="K19" s="115">
        <f>+'PMC 01'!K19</f>
        <v>0.3</v>
      </c>
    </row>
    <row r="20" spans="1:11" ht="12.75">
      <c r="A20" s="25" t="s">
        <v>66</v>
      </c>
      <c r="B20" s="115">
        <f>+'PMC 01'!B20</f>
        <v>0.5</v>
      </c>
      <c r="J20" s="25" t="s">
        <v>66</v>
      </c>
      <c r="K20" s="115">
        <f>+'PMC 01'!K20</f>
        <v>0.5</v>
      </c>
    </row>
    <row r="21" spans="1:16" ht="12.75">
      <c r="A21" s="69" t="s">
        <v>107</v>
      </c>
      <c r="B21" s="116">
        <f>+'PMC 01'!B21</f>
        <v>1.21</v>
      </c>
      <c r="C21" s="38"/>
      <c r="D21" s="38"/>
      <c r="E21" s="38"/>
      <c r="F21" s="38"/>
      <c r="G21" s="38"/>
      <c r="J21" s="69" t="s">
        <v>107</v>
      </c>
      <c r="K21" s="116">
        <f>+'PMC 01'!K21</f>
        <v>1.21</v>
      </c>
      <c r="L21" s="38"/>
      <c r="N21" s="38"/>
      <c r="O21" s="38"/>
      <c r="P21" s="38"/>
    </row>
    <row r="22" spans="3:16" ht="12.75">
      <c r="C22" s="38"/>
      <c r="D22" s="38"/>
      <c r="E22" s="38"/>
      <c r="F22" s="38"/>
      <c r="G22" s="38"/>
      <c r="L22" s="38"/>
      <c r="M22" s="38"/>
      <c r="N22" s="38"/>
      <c r="O22" s="38"/>
      <c r="P22" s="38"/>
    </row>
    <row r="23" spans="1:17" ht="12.75">
      <c r="A23" s="14" t="s">
        <v>57</v>
      </c>
      <c r="B23" s="14"/>
      <c r="C23" s="24" t="s">
        <v>51</v>
      </c>
      <c r="D23" s="24" t="s">
        <v>58</v>
      </c>
      <c r="E23" s="24" t="s">
        <v>59</v>
      </c>
      <c r="F23" s="24" t="s">
        <v>108</v>
      </c>
      <c r="G23" s="24" t="s">
        <v>52</v>
      </c>
      <c r="H23" s="83" t="s">
        <v>6</v>
      </c>
      <c r="J23" s="14" t="s">
        <v>57</v>
      </c>
      <c r="K23" s="16"/>
      <c r="L23" s="27" t="s">
        <v>51</v>
      </c>
      <c r="M23" s="27" t="s">
        <v>58</v>
      </c>
      <c r="N23" s="27" t="s">
        <v>59</v>
      </c>
      <c r="O23" s="27" t="s">
        <v>60</v>
      </c>
      <c r="P23" s="27" t="s">
        <v>52</v>
      </c>
      <c r="Q23" s="39" t="s">
        <v>6</v>
      </c>
    </row>
    <row r="24" spans="1:17" ht="12.75">
      <c r="A24" s="16" t="s">
        <v>156</v>
      </c>
      <c r="B24" s="16" t="s">
        <v>62</v>
      </c>
      <c r="C24" s="117">
        <f>+'PMC 01'!C24</f>
        <v>0.975</v>
      </c>
      <c r="D24" s="117">
        <f>+'PMC 01'!D24</f>
        <v>0.007</v>
      </c>
      <c r="E24" s="117">
        <f>+'PMC 01'!E24</f>
        <v>0.003</v>
      </c>
      <c r="F24" s="117">
        <f>+'PMC 01'!F24</f>
        <v>0.005</v>
      </c>
      <c r="G24" s="117">
        <f>+'PMC 01'!G24</f>
        <v>0.01</v>
      </c>
      <c r="H24" s="5">
        <f>SUM(C24:G24)</f>
        <v>1</v>
      </c>
      <c r="J24" s="16" t="s">
        <v>156</v>
      </c>
      <c r="K24" s="16" t="s">
        <v>62</v>
      </c>
      <c r="L24" s="136">
        <f>+'PMC 01'!L24</f>
        <v>0.989</v>
      </c>
      <c r="M24" s="136">
        <f>+'PMC 01'!M24</f>
        <v>0.001</v>
      </c>
      <c r="N24" s="136">
        <f>+'PMC 01'!N24</f>
        <v>0.0025</v>
      </c>
      <c r="O24" s="136">
        <f>+'PMC 01'!O24</f>
        <v>0.0025</v>
      </c>
      <c r="P24" s="136">
        <f>+'PMC 01'!P24</f>
        <v>0.005</v>
      </c>
      <c r="Q24" s="5">
        <f>SUM(L24:P24)</f>
        <v>0.9999999999999999</v>
      </c>
    </row>
    <row r="25" spans="1:17" ht="12.75">
      <c r="A25" s="34" t="s">
        <v>105</v>
      </c>
      <c r="B25" s="34" t="s">
        <v>61</v>
      </c>
      <c r="C25" s="75">
        <f>+C17*C24</f>
        <v>3.353697341254831</v>
      </c>
      <c r="D25" s="75">
        <f>+D17*D24</f>
        <v>0.43127205512128264</v>
      </c>
      <c r="E25" s="75">
        <f>+E17*E24</f>
        <v>0.3244889230508951</v>
      </c>
      <c r="F25" s="75">
        <f>+F17*F24</f>
        <v>2.8853087102341592</v>
      </c>
      <c r="G25" s="75">
        <f>+G17*G24</f>
        <v>23.005</v>
      </c>
      <c r="H25" s="6">
        <f>SUM(C25:G25)</f>
        <v>29.999767029661164</v>
      </c>
      <c r="J25" s="34" t="s">
        <v>105</v>
      </c>
      <c r="K25" s="34" t="s">
        <v>61</v>
      </c>
      <c r="L25" s="7">
        <f>+L17*L24</f>
        <v>1.493700983954996</v>
      </c>
      <c r="M25" s="7">
        <f>+M17*M24</f>
        <v>0.03133650814567468</v>
      </c>
      <c r="N25" s="7">
        <f>+N17*N24</f>
        <v>0.15529827075550443</v>
      </c>
      <c r="O25" s="7">
        <f>+O17*O24</f>
        <v>0.8267189306548393</v>
      </c>
      <c r="P25" s="7">
        <f>+P17*P24</f>
        <v>9.46</v>
      </c>
      <c r="Q25" s="7">
        <f>SUM(L25:P25)</f>
        <v>11.967054693511015</v>
      </c>
    </row>
    <row r="26" spans="1:17" ht="12.75">
      <c r="A26" s="10" t="s">
        <v>145</v>
      </c>
      <c r="B26" s="16"/>
      <c r="C26" s="16"/>
      <c r="D26" s="40"/>
      <c r="E26" s="40"/>
      <c r="F26" s="40"/>
      <c r="G26" s="40"/>
      <c r="H26" s="11"/>
      <c r="J26" s="10" t="s">
        <v>145</v>
      </c>
      <c r="K26" s="16"/>
      <c r="L26" s="16"/>
      <c r="M26" s="10"/>
      <c r="N26" s="10"/>
      <c r="O26" s="10"/>
      <c r="P26" s="10"/>
      <c r="Q26" s="11"/>
    </row>
    <row r="27" spans="1:17" ht="12.75">
      <c r="A27" s="16" t="s">
        <v>156</v>
      </c>
      <c r="B27" s="16" t="s">
        <v>62</v>
      </c>
      <c r="C27" s="76">
        <f>100%-D27-E27-F27-G27</f>
        <v>0.9825</v>
      </c>
      <c r="D27" s="77">
        <f>+D24*(100%-$B19)</f>
        <v>0.0049</v>
      </c>
      <c r="E27" s="77">
        <f>+E24*(100%-$B19)</f>
        <v>0.0021</v>
      </c>
      <c r="F27" s="77">
        <f>+F24*(100%-$B19)</f>
        <v>0.0034999999999999996</v>
      </c>
      <c r="G27" s="77">
        <f>+G24*(100%-$B19)</f>
        <v>0.006999999999999999</v>
      </c>
      <c r="H27" s="5">
        <f>SUM(C27:G27)</f>
        <v>1</v>
      </c>
      <c r="J27" s="16" t="s">
        <v>156</v>
      </c>
      <c r="K27" s="16" t="s">
        <v>62</v>
      </c>
      <c r="L27" s="8">
        <f>100%-M27-N27-O27-P27</f>
        <v>0.9923</v>
      </c>
      <c r="M27" s="9">
        <f>+M24*(100%-$K19)</f>
        <v>0.0007</v>
      </c>
      <c r="N27" s="9">
        <f>+N24*(100%-$K19)</f>
        <v>0.0017499999999999998</v>
      </c>
      <c r="O27" s="9">
        <f>+O24*(100%-$K19)</f>
        <v>0.0017499999999999998</v>
      </c>
      <c r="P27" s="9">
        <f>+P24*(100%-$K19)</f>
        <v>0.0034999999999999996</v>
      </c>
      <c r="Q27" s="5">
        <f>SUM(L27:P27)</f>
        <v>1</v>
      </c>
    </row>
    <row r="28" spans="1:17" ht="12.75">
      <c r="A28" s="34" t="s">
        <v>106</v>
      </c>
      <c r="B28" s="34" t="s">
        <v>61</v>
      </c>
      <c r="C28" s="75">
        <f>+C27*C17</f>
        <v>3.3794950131106374</v>
      </c>
      <c r="D28" s="75">
        <f>+D27*D17</f>
        <v>0.30189043858489784</v>
      </c>
      <c r="E28" s="75">
        <f>+E27*E17</f>
        <v>0.22714224613562656</v>
      </c>
      <c r="F28" s="75">
        <f>+F27*F17</f>
        <v>2.019716097163911</v>
      </c>
      <c r="G28" s="75">
        <f>+G27*G17</f>
        <v>16.103499999999997</v>
      </c>
      <c r="H28" s="7">
        <f>SUM(C28:G28)</f>
        <v>22.03174379499507</v>
      </c>
      <c r="J28" s="34" t="s">
        <v>106</v>
      </c>
      <c r="K28" s="34" t="s">
        <v>61</v>
      </c>
      <c r="L28" s="7">
        <f>+L27*L17</f>
        <v>1.4986850216163219</v>
      </c>
      <c r="M28" s="7">
        <f>+M27*M17</f>
        <v>0.021935555701972274</v>
      </c>
      <c r="N28" s="7">
        <f>+N27*N17</f>
        <v>0.10870878952885307</v>
      </c>
      <c r="O28" s="7">
        <f>+O27*O17</f>
        <v>0.5787032514583874</v>
      </c>
      <c r="P28" s="7">
        <f>+P27*P17</f>
        <v>6.621999999999999</v>
      </c>
      <c r="Q28" s="7">
        <f>SUM(L28:P28)</f>
        <v>8.830032618305534</v>
      </c>
    </row>
    <row r="29" spans="1:17" ht="12.75">
      <c r="A29" s="12" t="s">
        <v>150</v>
      </c>
      <c r="B29" s="40"/>
      <c r="C29" s="40"/>
      <c r="D29" s="40"/>
      <c r="E29" s="40"/>
      <c r="F29" s="40"/>
      <c r="G29" s="40"/>
      <c r="H29" s="10"/>
      <c r="J29" s="12" t="s">
        <v>165</v>
      </c>
      <c r="K29" s="40"/>
      <c r="L29" s="10"/>
      <c r="M29" s="10"/>
      <c r="N29" s="10"/>
      <c r="O29" s="10"/>
      <c r="P29" s="10"/>
      <c r="Q29" s="10"/>
    </row>
    <row r="30" spans="1:17" ht="12.75">
      <c r="A30" s="16" t="s">
        <v>156</v>
      </c>
      <c r="B30" s="16" t="s">
        <v>62</v>
      </c>
      <c r="C30" s="76">
        <f>100%-D30-E30-F30-G30</f>
        <v>0.9888</v>
      </c>
      <c r="D30" s="76">
        <f>+D27</f>
        <v>0.0049</v>
      </c>
      <c r="E30" s="77">
        <f>(100%-$B20)*E27</f>
        <v>0.00105</v>
      </c>
      <c r="F30" s="77">
        <f>(100%-$B20)*F27</f>
        <v>0.0017499999999999998</v>
      </c>
      <c r="G30" s="77">
        <f>(100%-$B20)*G27</f>
        <v>0.0034999999999999996</v>
      </c>
      <c r="H30" s="5">
        <f>SUM(C30:G30)</f>
        <v>1</v>
      </c>
      <c r="J30" s="16" t="s">
        <v>156</v>
      </c>
      <c r="K30" s="16" t="s">
        <v>62</v>
      </c>
      <c r="L30" s="8">
        <f>100%-M30-N30-O30-P30</f>
        <v>0.9958</v>
      </c>
      <c r="M30" s="8">
        <f>+M27</f>
        <v>0.0007</v>
      </c>
      <c r="N30" s="9">
        <f>(100%-$K20)*N27</f>
        <v>0.0008749999999999999</v>
      </c>
      <c r="O30" s="9">
        <f>(100%-$K20)*O27</f>
        <v>0.0008749999999999999</v>
      </c>
      <c r="P30" s="9">
        <f>(100%-$K20)*P27</f>
        <v>0.0017499999999999998</v>
      </c>
      <c r="Q30" s="5">
        <f>SUM(L30:P30)</f>
        <v>1</v>
      </c>
    </row>
    <row r="31" spans="1:17" ht="12.75">
      <c r="A31" s="34" t="s">
        <v>106</v>
      </c>
      <c r="B31" s="34" t="s">
        <v>61</v>
      </c>
      <c r="C31" s="75">
        <f>+C17*C30</f>
        <v>3.4011650574695147</v>
      </c>
      <c r="D31" s="75">
        <f>+D17*D30</f>
        <v>0.30189043858489784</v>
      </c>
      <c r="E31" s="75">
        <f>+E17*E30</f>
        <v>0.11357112306781328</v>
      </c>
      <c r="F31" s="75">
        <f>+F17*F30</f>
        <v>1.0098580485819555</v>
      </c>
      <c r="G31" s="75">
        <f>+G17*G30</f>
        <v>8.051749999999998</v>
      </c>
      <c r="H31" s="7">
        <f>SUM(C31:G31)</f>
        <v>12.87823466770418</v>
      </c>
      <c r="J31" s="34" t="s">
        <v>106</v>
      </c>
      <c r="K31" s="34" t="s">
        <v>61</v>
      </c>
      <c r="L31" s="7">
        <f>+L17*L30</f>
        <v>1.5039711221662133</v>
      </c>
      <c r="M31" s="7">
        <f>+M17*M30</f>
        <v>0.021935555701972274</v>
      </c>
      <c r="N31" s="7">
        <f>+N17*N30</f>
        <v>0.054354394764426536</v>
      </c>
      <c r="O31" s="7">
        <f>+O17*O30</f>
        <v>0.2893516257291937</v>
      </c>
      <c r="P31" s="7">
        <f>+P17*P30</f>
        <v>3.3109999999999995</v>
      </c>
      <c r="Q31" s="7">
        <f>SUM(L31:P31)</f>
        <v>5.180612698361806</v>
      </c>
    </row>
    <row r="32" spans="1:17" ht="12.75">
      <c r="A32" s="14" t="s">
        <v>68</v>
      </c>
      <c r="B32" s="16"/>
      <c r="C32" s="16"/>
      <c r="D32" s="16"/>
      <c r="E32" s="16"/>
      <c r="F32" s="16"/>
      <c r="G32" s="97"/>
      <c r="H32" s="14"/>
      <c r="J32" s="14" t="s">
        <v>68</v>
      </c>
      <c r="K32" s="16"/>
      <c r="L32" s="16"/>
      <c r="M32" s="16"/>
      <c r="N32" s="16"/>
      <c r="O32" s="16"/>
      <c r="P32" s="97"/>
      <c r="Q32" s="16"/>
    </row>
    <row r="33" spans="1:17" ht="12.75">
      <c r="A33" s="16" t="s">
        <v>156</v>
      </c>
      <c r="B33" s="16" t="s">
        <v>62</v>
      </c>
      <c r="C33" s="41">
        <f>100%-SUM(D33:G33)</f>
        <v>0.981921</v>
      </c>
      <c r="D33" s="43">
        <f>+D30*$B21</f>
        <v>0.005928999999999999</v>
      </c>
      <c r="E33" s="42">
        <f>+(-E30+E24)/2+E30</f>
        <v>0.002025</v>
      </c>
      <c r="F33" s="42">
        <f>+(-F30+F24)/2+F30</f>
        <v>0.003375</v>
      </c>
      <c r="G33" s="42">
        <f>+(-G30+G24)/2+G30</f>
        <v>0.00675</v>
      </c>
      <c r="H33" s="5">
        <f>SUM(C33:G33)</f>
        <v>1</v>
      </c>
      <c r="J33" s="16" t="s">
        <v>156</v>
      </c>
      <c r="K33" s="16" t="s">
        <v>62</v>
      </c>
      <c r="L33" s="41">
        <f>100%-SUM(M33:P33)</f>
        <v>0.992403</v>
      </c>
      <c r="M33" s="43">
        <f>+M30*$K21</f>
        <v>0.000847</v>
      </c>
      <c r="N33" s="42">
        <f>+(-N30+N24)/2+N30</f>
        <v>0.0016875</v>
      </c>
      <c r="O33" s="42">
        <f>+(-O30+O24)/2+O30</f>
        <v>0.0016875</v>
      </c>
      <c r="P33" s="42">
        <f>+(-P30+P24)/2+P30</f>
        <v>0.003375</v>
      </c>
      <c r="Q33" s="41">
        <f>SUM(L33:P33)</f>
        <v>1</v>
      </c>
    </row>
    <row r="34" spans="1:17" ht="12.75">
      <c r="A34" s="34" t="s">
        <v>106</v>
      </c>
      <c r="B34" s="34" t="s">
        <v>61</v>
      </c>
      <c r="C34" s="45">
        <f>+C33*C17</f>
        <v>3.377503432843369</v>
      </c>
      <c r="D34" s="45">
        <f>+D33*D17</f>
        <v>0.36528743068772634</v>
      </c>
      <c r="E34" s="45">
        <f>+E33*E17</f>
        <v>0.21903002305935418</v>
      </c>
      <c r="F34" s="45">
        <f>+F33*F17</f>
        <v>1.9475833794080573</v>
      </c>
      <c r="G34" s="45">
        <f>+G33*G17</f>
        <v>15.528375</v>
      </c>
      <c r="H34" s="13">
        <f>SUM(C34:G34)</f>
        <v>21.437779265998508</v>
      </c>
      <c r="J34" s="34" t="s">
        <v>106</v>
      </c>
      <c r="K34" s="34" t="s">
        <v>61</v>
      </c>
      <c r="L34" s="45">
        <f>+L33*L17</f>
        <v>1.4988405840039332</v>
      </c>
      <c r="M34" s="45">
        <f>+M33*M17</f>
        <v>0.026542022399386453</v>
      </c>
      <c r="N34" s="45">
        <f>+N33*N17</f>
        <v>0.10482633275996547</v>
      </c>
      <c r="O34" s="45">
        <f>+O33*O17</f>
        <v>0.5580352781920165</v>
      </c>
      <c r="P34" s="45">
        <f>+P33*P17</f>
        <v>6.3854999999999995</v>
      </c>
      <c r="Q34" s="45">
        <f>SUM(L34:P34)</f>
        <v>8.573744217355301</v>
      </c>
    </row>
    <row r="35" spans="1:17" ht="12.75">
      <c r="A35" s="14" t="s">
        <v>69</v>
      </c>
      <c r="B35" s="34"/>
      <c r="C35" s="70"/>
      <c r="D35" s="70"/>
      <c r="E35" s="70"/>
      <c r="F35" s="70"/>
      <c r="G35" s="70"/>
      <c r="H35" s="78"/>
      <c r="J35" s="14" t="s">
        <v>69</v>
      </c>
      <c r="K35" s="34"/>
      <c r="L35" s="70"/>
      <c r="M35" s="70"/>
      <c r="N35" s="70"/>
      <c r="O35" s="70"/>
      <c r="P35" s="70"/>
      <c r="Q35" s="70"/>
    </row>
    <row r="36" spans="1:17" ht="12.75">
      <c r="A36" s="16" t="s">
        <v>166</v>
      </c>
      <c r="B36" s="16" t="s">
        <v>62</v>
      </c>
      <c r="C36" s="41">
        <f>100%-SUM(D36:G36)</f>
        <v>0.9850586776859505</v>
      </c>
      <c r="D36" s="41">
        <f>+D30</f>
        <v>0.0049</v>
      </c>
      <c r="E36" s="137">
        <f>+$D36/$D33*E33</f>
        <v>0.0016735537190082643</v>
      </c>
      <c r="F36" s="137">
        <f>+$D36/$D33*F33</f>
        <v>0.0027892561983471073</v>
      </c>
      <c r="G36" s="137">
        <f>+$D36/$D33*G33</f>
        <v>0.005578512396694215</v>
      </c>
      <c r="H36" s="79">
        <f>SUM(C36:G36)</f>
        <v>1</v>
      </c>
      <c r="J36" s="16" t="s">
        <v>156</v>
      </c>
      <c r="K36" s="16" t="s">
        <v>62</v>
      </c>
      <c r="L36" s="41">
        <f>100%-SUM(M36:P36)</f>
        <v>0.9937214876033058</v>
      </c>
      <c r="M36" s="41">
        <f>+M30</f>
        <v>0.0007</v>
      </c>
      <c r="N36" s="41">
        <f>+$M36/$M33*N33</f>
        <v>0.0013946280991735537</v>
      </c>
      <c r="O36" s="41">
        <f>+$M36/$M33*O33</f>
        <v>0.0013946280991735537</v>
      </c>
      <c r="P36" s="41">
        <f>+$M36/$M33*P33</f>
        <v>0.0027892561983471073</v>
      </c>
      <c r="Q36" s="43">
        <f>SUM(L36:P36)</f>
        <v>1</v>
      </c>
    </row>
    <row r="37" spans="1:17" ht="12.75">
      <c r="A37" s="34" t="s">
        <v>106</v>
      </c>
      <c r="B37" s="34" t="s">
        <v>61</v>
      </c>
      <c r="C37" s="45">
        <f>+C36*C17</f>
        <v>3.3882960700875606</v>
      </c>
      <c r="D37" s="45">
        <f>+D36*D17</f>
        <v>0.30189043858489784</v>
      </c>
      <c r="E37" s="45">
        <f>+E36*E17</f>
        <v>0.18101654798293734</v>
      </c>
      <c r="F37" s="45">
        <f>+F36*F17</f>
        <v>1.6095730408331053</v>
      </c>
      <c r="G37" s="45">
        <f>+G36*G17</f>
        <v>12.833367768595041</v>
      </c>
      <c r="H37" s="13">
        <f>SUM(C37:G37)</f>
        <v>18.31414386608354</v>
      </c>
      <c r="J37" s="34" t="s">
        <v>106</v>
      </c>
      <c r="K37" s="34" t="s">
        <v>61</v>
      </c>
      <c r="L37" s="45">
        <f>+L36*L17</f>
        <v>1.5008319148738931</v>
      </c>
      <c r="M37" s="45">
        <f>+M36*M17</f>
        <v>0.021935555701972274</v>
      </c>
      <c r="N37" s="45">
        <f>+N36*N17</f>
        <v>0.0866333328594756</v>
      </c>
      <c r="O37" s="45">
        <f>+O36*O17</f>
        <v>0.46118618032398057</v>
      </c>
      <c r="P37" s="45">
        <f>+P36*P17</f>
        <v>5.277272727272727</v>
      </c>
      <c r="Q37" s="45">
        <f>SUM(L37:P37)</f>
        <v>7.347859711032049</v>
      </c>
    </row>
    <row r="38" spans="1:17" ht="12.75">
      <c r="A38" s="16"/>
      <c r="B38" s="16"/>
      <c r="C38" s="46"/>
      <c r="D38" s="47"/>
      <c r="E38" s="47"/>
      <c r="F38" s="47"/>
      <c r="G38" s="47"/>
      <c r="H38" s="80"/>
      <c r="J38" s="16"/>
      <c r="K38" s="16"/>
      <c r="L38" s="46"/>
      <c r="M38" s="47"/>
      <c r="N38" s="47"/>
      <c r="O38" s="47"/>
      <c r="P38" s="47"/>
      <c r="Q38" s="47"/>
    </row>
    <row r="39" spans="1:22" ht="51">
      <c r="A39" s="16"/>
      <c r="B39" s="16"/>
      <c r="C39" s="46"/>
      <c r="D39" s="46"/>
      <c r="E39" s="46"/>
      <c r="F39" s="46"/>
      <c r="G39" s="46"/>
      <c r="H39" s="81" t="s">
        <v>39</v>
      </c>
      <c r="J39" s="16"/>
      <c r="K39" s="16"/>
      <c r="L39" s="46"/>
      <c r="M39" s="46"/>
      <c r="N39" s="46"/>
      <c r="O39" s="46"/>
      <c r="P39" s="46"/>
      <c r="Q39" s="81" t="s">
        <v>39</v>
      </c>
      <c r="R39" s="25" t="s">
        <v>7</v>
      </c>
      <c r="S39" s="64" t="s">
        <v>141</v>
      </c>
      <c r="T39" s="64" t="s">
        <v>142</v>
      </c>
      <c r="U39" s="111" t="s">
        <v>143</v>
      </c>
      <c r="V39" s="111" t="s">
        <v>144</v>
      </c>
    </row>
    <row r="40" spans="1:22" ht="12.75">
      <c r="A40" s="16" t="s">
        <v>137</v>
      </c>
      <c r="B40" s="16">
        <v>0</v>
      </c>
      <c r="C40" s="41">
        <f>+C30</f>
        <v>0.9888</v>
      </c>
      <c r="D40" s="41">
        <f>+D30</f>
        <v>0.0049</v>
      </c>
      <c r="E40" s="41">
        <f>+E30</f>
        <v>0.00105</v>
      </c>
      <c r="F40" s="41">
        <f>+F30</f>
        <v>0.0017499999999999998</v>
      </c>
      <c r="G40" s="41">
        <f>+G30</f>
        <v>0.0034999999999999996</v>
      </c>
      <c r="H40" s="13">
        <f>+C40*C$17+D40*D$17+E40*E$17+F40*F$17+G40*G$17</f>
        <v>12.87823466770418</v>
      </c>
      <c r="J40" s="16"/>
      <c r="K40" s="16"/>
      <c r="L40" s="41">
        <f>+L30</f>
        <v>0.9958</v>
      </c>
      <c r="M40" s="41">
        <f>+M30</f>
        <v>0.0007</v>
      </c>
      <c r="N40" s="41">
        <f>+N30</f>
        <v>0.0008749999999999999</v>
      </c>
      <c r="O40" s="41">
        <f>+O30</f>
        <v>0.0008749999999999999</v>
      </c>
      <c r="P40" s="41">
        <f>+P30</f>
        <v>0.0017499999999999998</v>
      </c>
      <c r="Q40" s="13">
        <f>+L40*L$17+M40*M$17+N40*N$17+O40*O$17+P40*P$17</f>
        <v>5.180612698361806</v>
      </c>
      <c r="R40" s="25">
        <v>0</v>
      </c>
      <c r="S40" s="112">
        <f aca="true" t="shared" si="2" ref="S40:S45">+H40</f>
        <v>12.87823466770418</v>
      </c>
      <c r="T40" s="112">
        <f aca="true" t="shared" si="3" ref="T40:T45">+H47</f>
        <v>12.87823466770418</v>
      </c>
      <c r="U40" s="112">
        <f aca="true" t="shared" si="4" ref="U40:U45">+H54</f>
        <v>12.87823466770418</v>
      </c>
      <c r="V40" s="112">
        <f aca="true" t="shared" si="5" ref="V40:V45">+H$62</f>
        <v>16.377098116872602</v>
      </c>
    </row>
    <row r="41" spans="1:22" ht="12.75">
      <c r="A41" s="16" t="s">
        <v>138</v>
      </c>
      <c r="B41" s="16">
        <v>1</v>
      </c>
      <c r="C41" s="41">
        <f aca="true" t="shared" si="6" ref="C41:G45">+(C$33-C$40)/5+C40</f>
        <v>0.9874242</v>
      </c>
      <c r="D41" s="41">
        <f t="shared" si="6"/>
        <v>0.0051058</v>
      </c>
      <c r="E41" s="41">
        <f t="shared" si="6"/>
        <v>0.001245</v>
      </c>
      <c r="F41" s="41">
        <f t="shared" si="6"/>
        <v>0.002075</v>
      </c>
      <c r="G41" s="41">
        <f t="shared" si="6"/>
        <v>0.00415</v>
      </c>
      <c r="H41" s="13">
        <f aca="true" t="shared" si="7" ref="H41:H59">+C41*C$17+D41*D$17+E41*E$17+F41*F$17+G41*G$17</f>
        <v>14.590143587363047</v>
      </c>
      <c r="J41" s="16"/>
      <c r="K41" s="16"/>
      <c r="L41" s="41">
        <f aca="true" t="shared" si="8" ref="L41:P45">+(L$33-L$40)/5+L40</f>
        <v>0.9951206</v>
      </c>
      <c r="M41" s="41">
        <f t="shared" si="8"/>
        <v>0.0007294</v>
      </c>
      <c r="N41" s="41">
        <f t="shared" si="8"/>
        <v>0.0010375</v>
      </c>
      <c r="O41" s="41">
        <f t="shared" si="8"/>
        <v>0.0010375</v>
      </c>
      <c r="P41" s="41">
        <f t="shared" si="8"/>
        <v>0.002075</v>
      </c>
      <c r="Q41" s="13">
        <f aca="true" t="shared" si="9" ref="Q41:Q59">+L41*L$17+M41*M$17+N41*N$17+O41*O$17+P41*P$17</f>
        <v>5.859239002160505</v>
      </c>
      <c r="R41" s="25">
        <v>1</v>
      </c>
      <c r="S41" s="112">
        <f t="shared" si="2"/>
        <v>14.590143587363047</v>
      </c>
      <c r="T41" s="112">
        <f t="shared" si="3"/>
        <v>13.965416507380052</v>
      </c>
      <c r="U41" s="112">
        <f t="shared" si="4"/>
        <v>14.27778004737155</v>
      </c>
      <c r="V41" s="112">
        <f t="shared" si="5"/>
        <v>16.377098116872602</v>
      </c>
    </row>
    <row r="42" spans="1:22" ht="12.75">
      <c r="A42" s="16"/>
      <c r="B42" s="16">
        <v>2</v>
      </c>
      <c r="C42" s="41">
        <f t="shared" si="6"/>
        <v>0.9860483999999999</v>
      </c>
      <c r="D42" s="41">
        <f t="shared" si="6"/>
        <v>0.0053116</v>
      </c>
      <c r="E42" s="41">
        <f t="shared" si="6"/>
        <v>0.00144</v>
      </c>
      <c r="F42" s="41">
        <f t="shared" si="6"/>
        <v>0.0024000000000000002</v>
      </c>
      <c r="G42" s="41">
        <f t="shared" si="6"/>
        <v>0.0048000000000000004</v>
      </c>
      <c r="H42" s="13">
        <f t="shared" si="7"/>
        <v>16.302052507021912</v>
      </c>
      <c r="J42" s="16"/>
      <c r="K42" s="16"/>
      <c r="L42" s="41">
        <f t="shared" si="8"/>
        <v>0.9944412</v>
      </c>
      <c r="M42" s="41">
        <f t="shared" si="8"/>
        <v>0.0007587999999999999</v>
      </c>
      <c r="N42" s="41">
        <f t="shared" si="8"/>
        <v>0.0012000000000000001</v>
      </c>
      <c r="O42" s="41">
        <f t="shared" si="8"/>
        <v>0.0012000000000000001</v>
      </c>
      <c r="P42" s="41">
        <f t="shared" si="8"/>
        <v>0.0024000000000000002</v>
      </c>
      <c r="Q42" s="13">
        <f t="shared" si="9"/>
        <v>6.537865305959205</v>
      </c>
      <c r="R42" s="25">
        <v>2</v>
      </c>
      <c r="S42" s="112">
        <f t="shared" si="2"/>
        <v>16.302052507021912</v>
      </c>
      <c r="T42" s="112">
        <f t="shared" si="3"/>
        <v>15.052598347055927</v>
      </c>
      <c r="U42" s="112">
        <f t="shared" si="4"/>
        <v>15.67732542703892</v>
      </c>
      <c r="V42" s="112">
        <f t="shared" si="5"/>
        <v>16.377098116872602</v>
      </c>
    </row>
    <row r="43" spans="1:22" ht="12.75">
      <c r="A43" s="16"/>
      <c r="B43" s="16">
        <v>3</v>
      </c>
      <c r="C43" s="41">
        <f t="shared" si="6"/>
        <v>0.9846725999999999</v>
      </c>
      <c r="D43" s="41">
        <f t="shared" si="6"/>
        <v>0.0055173999999999996</v>
      </c>
      <c r="E43" s="41">
        <f t="shared" si="6"/>
        <v>0.0016350000000000002</v>
      </c>
      <c r="F43" s="41">
        <f t="shared" si="6"/>
        <v>0.0027250000000000004</v>
      </c>
      <c r="G43" s="41">
        <f t="shared" si="6"/>
        <v>0.005450000000000001</v>
      </c>
      <c r="H43" s="13">
        <f t="shared" si="7"/>
        <v>18.01396142668078</v>
      </c>
      <c r="J43" s="16"/>
      <c r="K43" s="16"/>
      <c r="L43" s="41">
        <f t="shared" si="8"/>
        <v>0.9937618</v>
      </c>
      <c r="M43" s="41">
        <f t="shared" si="8"/>
        <v>0.0007881999999999999</v>
      </c>
      <c r="N43" s="41">
        <f t="shared" si="8"/>
        <v>0.0013625000000000002</v>
      </c>
      <c r="O43" s="41">
        <f t="shared" si="8"/>
        <v>0.0013625000000000002</v>
      </c>
      <c r="P43" s="41">
        <f t="shared" si="8"/>
        <v>0.0027250000000000004</v>
      </c>
      <c r="Q43" s="13">
        <f t="shared" si="9"/>
        <v>7.216491609757904</v>
      </c>
      <c r="R43" s="25">
        <v>3</v>
      </c>
      <c r="S43" s="112">
        <f t="shared" si="2"/>
        <v>18.01396142668078</v>
      </c>
      <c r="T43" s="112">
        <f t="shared" si="3"/>
        <v>16.1397801867318</v>
      </c>
      <c r="U43" s="112">
        <f t="shared" si="4"/>
        <v>17.07687080670629</v>
      </c>
      <c r="V43" s="112">
        <f t="shared" si="5"/>
        <v>16.377098116872602</v>
      </c>
    </row>
    <row r="44" spans="1:22" ht="12.75">
      <c r="A44" s="16"/>
      <c r="B44" s="16">
        <v>4</v>
      </c>
      <c r="C44" s="41">
        <f t="shared" si="6"/>
        <v>0.9832967999999999</v>
      </c>
      <c r="D44" s="41">
        <f t="shared" si="6"/>
        <v>0.0057231999999999995</v>
      </c>
      <c r="E44" s="41">
        <f t="shared" si="6"/>
        <v>0.0018300000000000002</v>
      </c>
      <c r="F44" s="41">
        <f t="shared" si="6"/>
        <v>0.0030500000000000006</v>
      </c>
      <c r="G44" s="41">
        <f t="shared" si="6"/>
        <v>0.006100000000000001</v>
      </c>
      <c r="H44" s="13">
        <f t="shared" si="7"/>
        <v>19.725870346339644</v>
      </c>
      <c r="J44" s="16"/>
      <c r="K44" s="16"/>
      <c r="L44" s="41">
        <f t="shared" si="8"/>
        <v>0.9930824</v>
      </c>
      <c r="M44" s="41">
        <f t="shared" si="8"/>
        <v>0.0008175999999999998</v>
      </c>
      <c r="N44" s="41">
        <f t="shared" si="8"/>
        <v>0.0015250000000000003</v>
      </c>
      <c r="O44" s="41">
        <f t="shared" si="8"/>
        <v>0.0015250000000000003</v>
      </c>
      <c r="P44" s="41">
        <f t="shared" si="8"/>
        <v>0.0030500000000000006</v>
      </c>
      <c r="Q44" s="13">
        <f t="shared" si="9"/>
        <v>7.895117913556604</v>
      </c>
      <c r="R44" s="25">
        <v>4</v>
      </c>
      <c r="S44" s="112">
        <f t="shared" si="2"/>
        <v>19.725870346339644</v>
      </c>
      <c r="T44" s="112">
        <f t="shared" si="3"/>
        <v>17.226962026407673</v>
      </c>
      <c r="U44" s="112">
        <f t="shared" si="4"/>
        <v>18.47641618637366</v>
      </c>
      <c r="V44" s="112">
        <f t="shared" si="5"/>
        <v>16.377098116872602</v>
      </c>
    </row>
    <row r="45" spans="1:22" ht="12.75">
      <c r="A45" s="16"/>
      <c r="B45" s="16">
        <v>5</v>
      </c>
      <c r="C45" s="41">
        <f t="shared" si="6"/>
        <v>0.9819209999999998</v>
      </c>
      <c r="D45" s="41">
        <f t="shared" si="6"/>
        <v>0.005928999999999999</v>
      </c>
      <c r="E45" s="41">
        <f t="shared" si="6"/>
        <v>0.0020250000000000003</v>
      </c>
      <c r="F45" s="41">
        <f t="shared" si="6"/>
        <v>0.003375000000000001</v>
      </c>
      <c r="G45" s="41">
        <f t="shared" si="6"/>
        <v>0.006750000000000002</v>
      </c>
      <c r="H45" s="13">
        <f t="shared" si="7"/>
        <v>21.43777926599851</v>
      </c>
      <c r="J45" s="16"/>
      <c r="K45" s="16"/>
      <c r="L45" s="41">
        <f t="shared" si="8"/>
        <v>0.992403</v>
      </c>
      <c r="M45" s="41">
        <f t="shared" si="8"/>
        <v>0.0008469999999999998</v>
      </c>
      <c r="N45" s="41">
        <f t="shared" si="8"/>
        <v>0.0016875000000000004</v>
      </c>
      <c r="O45" s="41">
        <f t="shared" si="8"/>
        <v>0.0016875000000000004</v>
      </c>
      <c r="P45" s="41">
        <f t="shared" si="8"/>
        <v>0.003375000000000001</v>
      </c>
      <c r="Q45" s="13">
        <f t="shared" si="9"/>
        <v>8.573744217355303</v>
      </c>
      <c r="R45" s="25">
        <v>5</v>
      </c>
      <c r="S45" s="112">
        <f t="shared" si="2"/>
        <v>21.43777926599851</v>
      </c>
      <c r="T45" s="112">
        <f t="shared" si="3"/>
        <v>18.314143866083544</v>
      </c>
      <c r="U45" s="112">
        <f t="shared" si="4"/>
        <v>19.875961566041028</v>
      </c>
      <c r="V45" s="112">
        <f t="shared" si="5"/>
        <v>16.377098116872602</v>
      </c>
    </row>
    <row r="46" spans="1:17" ht="12.75">
      <c r="A46" s="16"/>
      <c r="B46" s="16"/>
      <c r="C46" s="48"/>
      <c r="D46" s="48"/>
      <c r="E46" s="48"/>
      <c r="F46" s="48"/>
      <c r="G46" s="48"/>
      <c r="H46" s="48"/>
      <c r="J46" s="16"/>
      <c r="K46" s="16"/>
      <c r="L46" s="48"/>
      <c r="M46" s="48"/>
      <c r="N46" s="48"/>
      <c r="O46" s="48"/>
      <c r="P46" s="48"/>
      <c r="Q46" s="48"/>
    </row>
    <row r="47" spans="1:22" ht="51">
      <c r="A47" s="16" t="s">
        <v>139</v>
      </c>
      <c r="B47" s="16">
        <v>0</v>
      </c>
      <c r="C47" s="41">
        <f>+C30</f>
        <v>0.9888</v>
      </c>
      <c r="D47" s="41">
        <f>+D30</f>
        <v>0.0049</v>
      </c>
      <c r="E47" s="41">
        <f>+E30</f>
        <v>0.00105</v>
      </c>
      <c r="F47" s="41">
        <f>+F30</f>
        <v>0.0017499999999999998</v>
      </c>
      <c r="G47" s="41">
        <f>+G30</f>
        <v>0.0034999999999999996</v>
      </c>
      <c r="H47" s="13">
        <f t="shared" si="7"/>
        <v>12.87823466770418</v>
      </c>
      <c r="J47" s="16"/>
      <c r="K47" s="16"/>
      <c r="L47" s="41">
        <f>+L30</f>
        <v>0.9958</v>
      </c>
      <c r="M47" s="41">
        <f>+M30</f>
        <v>0.0007</v>
      </c>
      <c r="N47" s="41">
        <f>+N30</f>
        <v>0.0008749999999999999</v>
      </c>
      <c r="O47" s="41">
        <f>+O30</f>
        <v>0.0008749999999999999</v>
      </c>
      <c r="P47" s="41">
        <f>+P30</f>
        <v>0.0017499999999999998</v>
      </c>
      <c r="Q47" s="13">
        <f t="shared" si="9"/>
        <v>5.180612698361806</v>
      </c>
      <c r="R47" s="25" t="s">
        <v>8</v>
      </c>
      <c r="S47" s="64" t="s">
        <v>141</v>
      </c>
      <c r="T47" s="64" t="s">
        <v>142</v>
      </c>
      <c r="U47" s="111" t="s">
        <v>143</v>
      </c>
      <c r="V47" s="111" t="s">
        <v>144</v>
      </c>
    </row>
    <row r="48" spans="1:22" ht="12.75">
      <c r="A48" s="16"/>
      <c r="B48" s="16">
        <v>1</v>
      </c>
      <c r="C48" s="41">
        <f aca="true" t="shared" si="10" ref="C48:G52">+(C$36-C$47)/5+C47</f>
        <v>0.9880517355371901</v>
      </c>
      <c r="D48" s="41">
        <f t="shared" si="10"/>
        <v>0.0049</v>
      </c>
      <c r="E48" s="41">
        <f t="shared" si="10"/>
        <v>0.001174710743801653</v>
      </c>
      <c r="F48" s="41">
        <f t="shared" si="10"/>
        <v>0.0019578512396694215</v>
      </c>
      <c r="G48" s="41">
        <f t="shared" si="10"/>
        <v>0.003915702479338843</v>
      </c>
      <c r="H48" s="13">
        <f t="shared" si="7"/>
        <v>13.965416507380052</v>
      </c>
      <c r="J48" s="16"/>
      <c r="K48" s="16"/>
      <c r="L48" s="41">
        <f aca="true" t="shared" si="11" ref="L48:P52">+(L$36-L$47)/5+L47</f>
        <v>0.9953842975206612</v>
      </c>
      <c r="M48" s="41">
        <f t="shared" si="11"/>
        <v>0.0007</v>
      </c>
      <c r="N48" s="41">
        <f t="shared" si="11"/>
        <v>0.0009789256198347107</v>
      </c>
      <c r="O48" s="41">
        <f t="shared" si="11"/>
        <v>0.0009789256198347107</v>
      </c>
      <c r="P48" s="41">
        <f t="shared" si="11"/>
        <v>0.0019578512396694215</v>
      </c>
      <c r="Q48" s="13">
        <f t="shared" si="9"/>
        <v>5.614062100895855</v>
      </c>
      <c r="R48" s="25">
        <v>0</v>
      </c>
      <c r="S48" s="112">
        <f aca="true" t="shared" si="12" ref="S48:S53">+Q40</f>
        <v>5.180612698361806</v>
      </c>
      <c r="T48" s="112">
        <f aca="true" t="shared" si="13" ref="T48:T53">+Q47</f>
        <v>5.180612698361806</v>
      </c>
      <c r="U48" s="112">
        <f aca="true" t="shared" si="14" ref="U48:U53">+Q54</f>
        <v>5.180612698361806</v>
      </c>
      <c r="V48" s="112">
        <f aca="true" t="shared" si="15" ref="V48:V53">+Q$62</f>
        <v>6.570707331277742</v>
      </c>
    </row>
    <row r="49" spans="1:22" ht="12.75">
      <c r="A49" s="16"/>
      <c r="B49" s="16">
        <v>2</v>
      </c>
      <c r="C49" s="41">
        <f t="shared" si="10"/>
        <v>0.9873034710743801</v>
      </c>
      <c r="D49" s="41">
        <f t="shared" si="10"/>
        <v>0.0049</v>
      </c>
      <c r="E49" s="41">
        <f t="shared" si="10"/>
        <v>0.0012994214876033059</v>
      </c>
      <c r="F49" s="41">
        <f t="shared" si="10"/>
        <v>0.002165702479338843</v>
      </c>
      <c r="G49" s="41">
        <f t="shared" si="10"/>
        <v>0.004331404958677686</v>
      </c>
      <c r="H49" s="13">
        <f t="shared" si="7"/>
        <v>15.052598347055927</v>
      </c>
      <c r="J49" s="16"/>
      <c r="K49" s="16"/>
      <c r="L49" s="41">
        <f t="shared" si="11"/>
        <v>0.9949685950413223</v>
      </c>
      <c r="M49" s="41">
        <f t="shared" si="11"/>
        <v>0.0007</v>
      </c>
      <c r="N49" s="41">
        <f t="shared" si="11"/>
        <v>0.0010828512396694216</v>
      </c>
      <c r="O49" s="41">
        <f t="shared" si="11"/>
        <v>0.0010828512396694216</v>
      </c>
      <c r="P49" s="41">
        <f t="shared" si="11"/>
        <v>0.002165702479338843</v>
      </c>
      <c r="Q49" s="13">
        <f t="shared" si="9"/>
        <v>6.047511503429904</v>
      </c>
      <c r="R49" s="25">
        <v>1</v>
      </c>
      <c r="S49" s="112">
        <f t="shared" si="12"/>
        <v>5.859239002160505</v>
      </c>
      <c r="T49" s="112">
        <f t="shared" si="13"/>
        <v>5.614062100895855</v>
      </c>
      <c r="U49" s="112">
        <f t="shared" si="14"/>
        <v>5.7366505515281805</v>
      </c>
      <c r="V49" s="112">
        <f t="shared" si="15"/>
        <v>6.570707331277742</v>
      </c>
    </row>
    <row r="50" spans="1:22" ht="12.75">
      <c r="A50" s="16"/>
      <c r="B50" s="16">
        <v>3</v>
      </c>
      <c r="C50" s="41">
        <f t="shared" si="10"/>
        <v>0.9865552066115701</v>
      </c>
      <c r="D50" s="41">
        <f t="shared" si="10"/>
        <v>0.0049</v>
      </c>
      <c r="E50" s="41">
        <f t="shared" si="10"/>
        <v>0.0014241322314049588</v>
      </c>
      <c r="F50" s="41">
        <f t="shared" si="10"/>
        <v>0.002373553719008265</v>
      </c>
      <c r="G50" s="41">
        <f t="shared" si="10"/>
        <v>0.00474710743801653</v>
      </c>
      <c r="H50" s="13">
        <f t="shared" si="7"/>
        <v>16.1397801867318</v>
      </c>
      <c r="J50" s="16"/>
      <c r="K50" s="16"/>
      <c r="L50" s="41">
        <f t="shared" si="11"/>
        <v>0.9945528925619834</v>
      </c>
      <c r="M50" s="41">
        <f t="shared" si="11"/>
        <v>0.0007</v>
      </c>
      <c r="N50" s="41">
        <f t="shared" si="11"/>
        <v>0.0011867768595041324</v>
      </c>
      <c r="O50" s="41">
        <f t="shared" si="11"/>
        <v>0.0011867768595041324</v>
      </c>
      <c r="P50" s="41">
        <f t="shared" si="11"/>
        <v>0.002373553719008265</v>
      </c>
      <c r="Q50" s="13">
        <f t="shared" si="9"/>
        <v>6.480960905963952</v>
      </c>
      <c r="R50" s="25">
        <v>2</v>
      </c>
      <c r="S50" s="112">
        <f t="shared" si="12"/>
        <v>6.537865305959205</v>
      </c>
      <c r="T50" s="112">
        <f t="shared" si="13"/>
        <v>6.047511503429904</v>
      </c>
      <c r="U50" s="112">
        <f t="shared" si="14"/>
        <v>6.2926884046945535</v>
      </c>
      <c r="V50" s="112">
        <f t="shared" si="15"/>
        <v>6.570707331277742</v>
      </c>
    </row>
    <row r="51" spans="1:22" ht="12.75">
      <c r="A51" s="16"/>
      <c r="B51" s="16">
        <v>4</v>
      </c>
      <c r="C51" s="41">
        <f t="shared" si="10"/>
        <v>0.9858069421487602</v>
      </c>
      <c r="D51" s="41">
        <f t="shared" si="10"/>
        <v>0.0049</v>
      </c>
      <c r="E51" s="41">
        <f t="shared" si="10"/>
        <v>0.0015488429752066118</v>
      </c>
      <c r="F51" s="41">
        <f t="shared" si="10"/>
        <v>0.0025814049586776865</v>
      </c>
      <c r="G51" s="41">
        <f t="shared" si="10"/>
        <v>0.005162809917355373</v>
      </c>
      <c r="H51" s="13">
        <f t="shared" si="7"/>
        <v>17.226962026407673</v>
      </c>
      <c r="J51" s="16"/>
      <c r="K51" s="16"/>
      <c r="L51" s="41">
        <f t="shared" si="11"/>
        <v>0.9941371900826446</v>
      </c>
      <c r="M51" s="41">
        <f t="shared" si="11"/>
        <v>0.0007</v>
      </c>
      <c r="N51" s="41">
        <f t="shared" si="11"/>
        <v>0.0012907024793388433</v>
      </c>
      <c r="O51" s="41">
        <f t="shared" si="11"/>
        <v>0.0012907024793388433</v>
      </c>
      <c r="P51" s="41">
        <f t="shared" si="11"/>
        <v>0.0025814049586776865</v>
      </c>
      <c r="Q51" s="13">
        <f t="shared" si="9"/>
        <v>6.914410308498001</v>
      </c>
      <c r="R51" s="25">
        <v>3</v>
      </c>
      <c r="S51" s="112">
        <f t="shared" si="12"/>
        <v>7.216491609757904</v>
      </c>
      <c r="T51" s="112">
        <f t="shared" si="13"/>
        <v>6.480960905963952</v>
      </c>
      <c r="U51" s="112">
        <f t="shared" si="14"/>
        <v>6.848726257860928</v>
      </c>
      <c r="V51" s="112">
        <f t="shared" si="15"/>
        <v>6.570707331277742</v>
      </c>
    </row>
    <row r="52" spans="1:22" ht="12.75">
      <c r="A52" s="16"/>
      <c r="B52" s="16">
        <v>5</v>
      </c>
      <c r="C52" s="41">
        <f t="shared" si="10"/>
        <v>0.9850586776859502</v>
      </c>
      <c r="D52" s="41">
        <f t="shared" si="10"/>
        <v>0.0049</v>
      </c>
      <c r="E52" s="41">
        <f t="shared" si="10"/>
        <v>0.0016735537190082648</v>
      </c>
      <c r="F52" s="41">
        <f t="shared" si="10"/>
        <v>0.002789256198347108</v>
      </c>
      <c r="G52" s="41">
        <f t="shared" si="10"/>
        <v>0.005578512396694216</v>
      </c>
      <c r="H52" s="13">
        <f t="shared" si="7"/>
        <v>18.314143866083544</v>
      </c>
      <c r="J52" s="16"/>
      <c r="K52" s="16"/>
      <c r="L52" s="41">
        <f t="shared" si="11"/>
        <v>0.9937214876033057</v>
      </c>
      <c r="M52" s="41">
        <f t="shared" si="11"/>
        <v>0.0007</v>
      </c>
      <c r="N52" s="41">
        <f t="shared" si="11"/>
        <v>0.001394628099173554</v>
      </c>
      <c r="O52" s="41">
        <f t="shared" si="11"/>
        <v>0.001394628099173554</v>
      </c>
      <c r="P52" s="41">
        <f t="shared" si="11"/>
        <v>0.002789256198347108</v>
      </c>
      <c r="Q52" s="13">
        <f t="shared" si="9"/>
        <v>7.347859711032051</v>
      </c>
      <c r="R52" s="25">
        <v>4</v>
      </c>
      <c r="S52" s="112">
        <f t="shared" si="12"/>
        <v>7.895117913556604</v>
      </c>
      <c r="T52" s="112">
        <f t="shared" si="13"/>
        <v>6.914410308498001</v>
      </c>
      <c r="U52" s="112">
        <f t="shared" si="14"/>
        <v>7.404764111027303</v>
      </c>
      <c r="V52" s="112">
        <f t="shared" si="15"/>
        <v>6.570707331277742</v>
      </c>
    </row>
    <row r="53" spans="1:22" ht="12.75">
      <c r="A53" s="16"/>
      <c r="B53" s="16"/>
      <c r="C53" s="48"/>
      <c r="D53" s="48"/>
      <c r="E53" s="48"/>
      <c r="F53" s="48"/>
      <c r="G53" s="48"/>
      <c r="H53" s="48"/>
      <c r="J53" s="16"/>
      <c r="K53" s="16"/>
      <c r="L53" s="48"/>
      <c r="M53" s="48"/>
      <c r="N53" s="48"/>
      <c r="O53" s="48"/>
      <c r="P53" s="48"/>
      <c r="Q53" s="48"/>
      <c r="R53" s="25">
        <v>5</v>
      </c>
      <c r="S53" s="112">
        <f t="shared" si="12"/>
        <v>8.573744217355303</v>
      </c>
      <c r="T53" s="112">
        <f t="shared" si="13"/>
        <v>7.347859711032051</v>
      </c>
      <c r="U53" s="112">
        <f t="shared" si="14"/>
        <v>7.960801964193678</v>
      </c>
      <c r="V53" s="112">
        <f t="shared" si="15"/>
        <v>6.570707331277742</v>
      </c>
    </row>
    <row r="54" spans="1:17" ht="12.75">
      <c r="A54" s="16" t="s">
        <v>140</v>
      </c>
      <c r="B54" s="16">
        <v>0</v>
      </c>
      <c r="C54" s="43">
        <f>+(C40+C47)/2</f>
        <v>0.9888</v>
      </c>
      <c r="D54" s="43">
        <f>+(D40+D47)/2</f>
        <v>0.0049</v>
      </c>
      <c r="E54" s="43">
        <f>+(E40+E47)/2</f>
        <v>0.00105</v>
      </c>
      <c r="F54" s="43">
        <f>+(F40+F47)/2</f>
        <v>0.0017499999999999998</v>
      </c>
      <c r="G54" s="43">
        <f>+(G40+G47)/2</f>
        <v>0.0034999999999999996</v>
      </c>
      <c r="H54" s="13">
        <f t="shared" si="7"/>
        <v>12.87823466770418</v>
      </c>
      <c r="J54" s="16"/>
      <c r="K54" s="16"/>
      <c r="L54" s="43">
        <f aca="true" t="shared" si="16" ref="L54:P59">+(L40+L47)/2</f>
        <v>0.9958</v>
      </c>
      <c r="M54" s="43">
        <f t="shared" si="16"/>
        <v>0.0007</v>
      </c>
      <c r="N54" s="43">
        <f t="shared" si="16"/>
        <v>0.0008749999999999999</v>
      </c>
      <c r="O54" s="43">
        <f t="shared" si="16"/>
        <v>0.0008749999999999999</v>
      </c>
      <c r="P54" s="43">
        <f t="shared" si="16"/>
        <v>0.0017499999999999998</v>
      </c>
      <c r="Q54" s="13">
        <f t="shared" si="9"/>
        <v>5.180612698361806</v>
      </c>
    </row>
    <row r="55" spans="1:17" ht="12.75">
      <c r="A55" s="16"/>
      <c r="B55" s="16">
        <v>1</v>
      </c>
      <c r="C55" s="43">
        <f aca="true" t="shared" si="17" ref="C55:G59">+(C41+C48)/2</f>
        <v>0.987737967768595</v>
      </c>
      <c r="D55" s="43">
        <f t="shared" si="17"/>
        <v>0.005002899999999999</v>
      </c>
      <c r="E55" s="43">
        <f t="shared" si="17"/>
        <v>0.0012098553719008265</v>
      </c>
      <c r="F55" s="43">
        <f t="shared" si="17"/>
        <v>0.002016425619834711</v>
      </c>
      <c r="G55" s="43">
        <f t="shared" si="17"/>
        <v>0.004032851239669422</v>
      </c>
      <c r="H55" s="13">
        <f t="shared" si="7"/>
        <v>14.27778004737155</v>
      </c>
      <c r="J55" s="16"/>
      <c r="K55" s="16"/>
      <c r="L55" s="43">
        <f t="shared" si="16"/>
        <v>0.9952524487603306</v>
      </c>
      <c r="M55" s="43">
        <f t="shared" si="16"/>
        <v>0.0007147</v>
      </c>
      <c r="N55" s="43">
        <f t="shared" si="16"/>
        <v>0.0010082128099173555</v>
      </c>
      <c r="O55" s="43">
        <f t="shared" si="16"/>
        <v>0.0010082128099173555</v>
      </c>
      <c r="P55" s="43">
        <f t="shared" si="16"/>
        <v>0.002016425619834711</v>
      </c>
      <c r="Q55" s="13">
        <f t="shared" si="9"/>
        <v>5.7366505515281805</v>
      </c>
    </row>
    <row r="56" spans="1:17" ht="12.75">
      <c r="A56" s="16"/>
      <c r="B56" s="16">
        <v>2</v>
      </c>
      <c r="C56" s="43">
        <f t="shared" si="17"/>
        <v>0.98667593553719</v>
      </c>
      <c r="D56" s="43">
        <f t="shared" si="17"/>
        <v>0.0051058</v>
      </c>
      <c r="E56" s="43">
        <f t="shared" si="17"/>
        <v>0.001369710743801653</v>
      </c>
      <c r="F56" s="43">
        <f t="shared" si="17"/>
        <v>0.0022828512396694217</v>
      </c>
      <c r="G56" s="43">
        <f t="shared" si="17"/>
        <v>0.004565702479338843</v>
      </c>
      <c r="H56" s="13">
        <f t="shared" si="7"/>
        <v>15.67732542703892</v>
      </c>
      <c r="J56" s="16"/>
      <c r="K56" s="16"/>
      <c r="L56" s="43">
        <f t="shared" si="16"/>
        <v>0.9947048975206612</v>
      </c>
      <c r="M56" s="43">
        <f t="shared" si="16"/>
        <v>0.0007294</v>
      </c>
      <c r="N56" s="43">
        <f t="shared" si="16"/>
        <v>0.0011414256198347108</v>
      </c>
      <c r="O56" s="43">
        <f t="shared" si="16"/>
        <v>0.0011414256198347108</v>
      </c>
      <c r="P56" s="43">
        <f t="shared" si="16"/>
        <v>0.0022828512396694217</v>
      </c>
      <c r="Q56" s="13">
        <f t="shared" si="9"/>
        <v>6.2926884046945535</v>
      </c>
    </row>
    <row r="57" spans="1:17" ht="12.75">
      <c r="A57" s="16"/>
      <c r="B57" s="16">
        <v>3</v>
      </c>
      <c r="C57" s="43">
        <f t="shared" si="17"/>
        <v>0.985613903305785</v>
      </c>
      <c r="D57" s="43">
        <f t="shared" si="17"/>
        <v>0.0052087</v>
      </c>
      <c r="E57" s="43">
        <f t="shared" si="17"/>
        <v>0.0015295661157024795</v>
      </c>
      <c r="F57" s="43">
        <f t="shared" si="17"/>
        <v>0.0025492768595041324</v>
      </c>
      <c r="G57" s="43">
        <f t="shared" si="17"/>
        <v>0.005098553719008265</v>
      </c>
      <c r="H57" s="13">
        <f t="shared" si="7"/>
        <v>17.07687080670629</v>
      </c>
      <c r="J57" s="16"/>
      <c r="K57" s="16"/>
      <c r="L57" s="43">
        <f t="shared" si="16"/>
        <v>0.9941573462809917</v>
      </c>
      <c r="M57" s="43">
        <f t="shared" si="16"/>
        <v>0.0007440999999999999</v>
      </c>
      <c r="N57" s="43">
        <f t="shared" si="16"/>
        <v>0.0012746384297520662</v>
      </c>
      <c r="O57" s="43">
        <f t="shared" si="16"/>
        <v>0.0012746384297520662</v>
      </c>
      <c r="P57" s="43">
        <f t="shared" si="16"/>
        <v>0.0025492768595041324</v>
      </c>
      <c r="Q57" s="13">
        <f t="shared" si="9"/>
        <v>6.848726257860928</v>
      </c>
    </row>
    <row r="58" spans="1:17" ht="12.75">
      <c r="A58" s="16"/>
      <c r="B58" s="16">
        <v>4</v>
      </c>
      <c r="C58" s="43">
        <f t="shared" si="17"/>
        <v>0.98455187107438</v>
      </c>
      <c r="D58" s="43">
        <f t="shared" si="17"/>
        <v>0.0053116</v>
      </c>
      <c r="E58" s="43">
        <f t="shared" si="17"/>
        <v>0.001689421487603306</v>
      </c>
      <c r="F58" s="43">
        <f t="shared" si="17"/>
        <v>0.0028157024793388436</v>
      </c>
      <c r="G58" s="43">
        <f t="shared" si="17"/>
        <v>0.005631404958677687</v>
      </c>
      <c r="H58" s="13">
        <f t="shared" si="7"/>
        <v>18.47641618637366</v>
      </c>
      <c r="J58" s="16"/>
      <c r="K58" s="16"/>
      <c r="L58" s="43">
        <f t="shared" si="16"/>
        <v>0.9936097950413223</v>
      </c>
      <c r="M58" s="43">
        <f t="shared" si="16"/>
        <v>0.0007587999999999999</v>
      </c>
      <c r="N58" s="43">
        <f t="shared" si="16"/>
        <v>0.0014078512396694218</v>
      </c>
      <c r="O58" s="43">
        <f t="shared" si="16"/>
        <v>0.0014078512396694218</v>
      </c>
      <c r="P58" s="43">
        <f t="shared" si="16"/>
        <v>0.0028157024793388436</v>
      </c>
      <c r="Q58" s="13">
        <f t="shared" si="9"/>
        <v>7.404764111027303</v>
      </c>
    </row>
    <row r="59" spans="1:17" ht="12.75">
      <c r="A59" s="16"/>
      <c r="B59" s="16">
        <v>5</v>
      </c>
      <c r="C59" s="43">
        <f t="shared" si="17"/>
        <v>0.983489838842975</v>
      </c>
      <c r="D59" s="43">
        <f t="shared" si="17"/>
        <v>0.005414499999999999</v>
      </c>
      <c r="E59" s="43">
        <f t="shared" si="17"/>
        <v>0.0018492768595041325</v>
      </c>
      <c r="F59" s="43">
        <f t="shared" si="17"/>
        <v>0.0030821280991735547</v>
      </c>
      <c r="G59" s="43">
        <f t="shared" si="17"/>
        <v>0.0061642561983471095</v>
      </c>
      <c r="H59" s="13">
        <f t="shared" si="7"/>
        <v>19.875961566041028</v>
      </c>
      <c r="J59" s="16"/>
      <c r="K59" s="16"/>
      <c r="L59" s="43">
        <f t="shared" si="16"/>
        <v>0.9930622438016529</v>
      </c>
      <c r="M59" s="43">
        <f t="shared" si="16"/>
        <v>0.0007734999999999999</v>
      </c>
      <c r="N59" s="43">
        <f t="shared" si="16"/>
        <v>0.0015410640495867774</v>
      </c>
      <c r="O59" s="43">
        <f t="shared" si="16"/>
        <v>0.0015410640495867774</v>
      </c>
      <c r="P59" s="43">
        <f t="shared" si="16"/>
        <v>0.0030821280991735547</v>
      </c>
      <c r="Q59" s="13">
        <f t="shared" si="9"/>
        <v>7.960801964193678</v>
      </c>
    </row>
    <row r="60" spans="1:17" ht="12.75">
      <c r="A60" s="14" t="s">
        <v>70</v>
      </c>
      <c r="B60" s="16"/>
      <c r="C60" s="71"/>
      <c r="D60" s="71"/>
      <c r="E60" s="71"/>
      <c r="F60" s="71"/>
      <c r="G60" s="71"/>
      <c r="H60" s="82"/>
      <c r="J60" s="14" t="s">
        <v>70</v>
      </c>
      <c r="K60" s="16"/>
      <c r="L60" s="71"/>
      <c r="M60" s="71"/>
      <c r="N60" s="71"/>
      <c r="O60" s="71"/>
      <c r="P60" s="71"/>
      <c r="Q60" s="72"/>
    </row>
    <row r="61" spans="1:17" ht="12.75">
      <c r="A61" s="16" t="s">
        <v>156</v>
      </c>
      <c r="B61" s="16" t="s">
        <v>62</v>
      </c>
      <c r="C61" s="41">
        <f>+((C54+C55)/2+(C55+C56)/2+(C56+C57)/2+(C57+C58)/2+(C58+C59)/2)/5</f>
        <v>0.9861449194214875</v>
      </c>
      <c r="D61" s="41">
        <f>+((D54+D55)/2+(D55+D56)/2+(D56+D57)/2+(D57+D58)/2+(D58+D59)/2)/5</f>
        <v>0.0051572499999999995</v>
      </c>
      <c r="E61" s="41">
        <f>+((E54+E55)/2+(E55+E56)/2+(E56+E57)/2+(E57+E58)/2+(E58+E59)/2)/5</f>
        <v>0.0014496384297520662</v>
      </c>
      <c r="F61" s="41">
        <f>+((F54+F55)/2+(F55+F56)/2+(F56+F57)/2+(F57+F58)/2+(F58+F59)/2)/5</f>
        <v>0.0024160640495867773</v>
      </c>
      <c r="G61" s="41">
        <f>+((G54+G55)/2+(G55+G56)/2+(G56+G57)/2+(G57+G58)/2+(G58+G59)/2)/5</f>
        <v>0.0048321280991735546</v>
      </c>
      <c r="H61" s="41">
        <f>SUM(C61:G61)</f>
        <v>1</v>
      </c>
      <c r="J61" s="16" t="s">
        <v>156</v>
      </c>
      <c r="K61" s="16" t="s">
        <v>62</v>
      </c>
      <c r="L61" s="41">
        <f>+((L54+L55)/2+(L55+L56)/2+(L56+L57)/2+(L57+L58)/2+(L58+L59)/2)/5</f>
        <v>0.9944311219008265</v>
      </c>
      <c r="M61" s="41">
        <f>+((M54+M55)/2+(M55+M56)/2+(M56+M57)/2+(M57+M58)/2+(M58+M59)/2)/5</f>
        <v>0.0007367499999999999</v>
      </c>
      <c r="N61" s="41">
        <f>+((N54+N55)/2+(N55+N56)/2+(N56+N57)/2+(N57+N58)/2+(N58+N59)/2)/5</f>
        <v>0.0012080320247933886</v>
      </c>
      <c r="O61" s="41">
        <f>+((O54+O55)/2+(O55+O56)/2+(O56+O57)/2+(O57+O58)/2+(O58+O59)/2)/5</f>
        <v>0.0012080320247933886</v>
      </c>
      <c r="P61" s="41">
        <f>+((P54+P55)/2+(P55+P56)/2+(P56+P57)/2+(P57+P58)/2+(P58+P59)/2)/5</f>
        <v>0.0024160640495867773</v>
      </c>
      <c r="Q61" s="41">
        <f>SUM(L61:P61)</f>
        <v>1</v>
      </c>
    </row>
    <row r="62" spans="1:17" ht="12.75">
      <c r="A62" s="34" t="s">
        <v>106</v>
      </c>
      <c r="B62" s="34" t="s">
        <v>61</v>
      </c>
      <c r="C62" s="45">
        <f>+C61*C17</f>
        <v>3.3920324044674897</v>
      </c>
      <c r="D62" s="45">
        <f>+D61*D17</f>
        <v>0.317739686610605</v>
      </c>
      <c r="E62" s="45">
        <f>+E61*E17</f>
        <v>0.15679720429447955</v>
      </c>
      <c r="F62" s="45">
        <f>+F61*F17</f>
        <v>1.3942181293512688</v>
      </c>
      <c r="G62" s="45">
        <f>+G61*G17</f>
        <v>11.116310692148762</v>
      </c>
      <c r="H62" s="45">
        <f>SUM(C62:G62)</f>
        <v>16.377098116872602</v>
      </c>
      <c r="J62" s="34" t="s">
        <v>106</v>
      </c>
      <c r="K62" s="34" t="s">
        <v>61</v>
      </c>
      <c r="L62" s="45">
        <f>+L61*L17</f>
        <v>1.5019036858025632</v>
      </c>
      <c r="M62" s="152">
        <f>+M61*M17</f>
        <v>0.023087172376325814</v>
      </c>
      <c r="N62" s="45">
        <f>+N61*N17</f>
        <v>0.07504211378707355</v>
      </c>
      <c r="O62" s="45">
        <f>+O61*O17</f>
        <v>0.39948117749359624</v>
      </c>
      <c r="P62" s="45">
        <f>+P61*P17</f>
        <v>4.571193181818183</v>
      </c>
      <c r="Q62" s="45">
        <f>SUM(L62:P62)</f>
        <v>6.570707331277742</v>
      </c>
    </row>
    <row r="63" spans="3:8" ht="12.75">
      <c r="C63" s="140">
        <f>+((C54+C55)/2+(C55+C56)/2+(C56+C57)/2+(C57+C58)/2+(C58+C59)/2)/5</f>
        <v>0.9861449194214875</v>
      </c>
      <c r="D63" s="140">
        <f>+((D54+D55)/2+(D55+D56)/2+(D56+D57)/2+(D57+D58)/2+(D58+D59)/2)/5</f>
        <v>0.0051572499999999995</v>
      </c>
      <c r="E63" s="140">
        <f>+((E54+E55)/2+(E55+E56)/2+(E56+E57)/2+(E57+E58)/2+(E58+E59)/2)/5</f>
        <v>0.0014496384297520662</v>
      </c>
      <c r="F63" s="140">
        <f>+((F54+F55)/2+(F55+F56)/2+(F56+F57)/2+(F57+F58)/2+(F58+F59)/2)/5</f>
        <v>0.0024160640495867773</v>
      </c>
      <c r="G63" s="140">
        <f>+((G54+G55)/2+(G55+G56)/2+(G56+G57)/2+(G57+G58)/2+(G58+G59)/2)/5</f>
        <v>0.0048321280991735546</v>
      </c>
      <c r="H63" s="140">
        <f>SUM(C63:G63)</f>
        <v>1</v>
      </c>
    </row>
    <row r="64" spans="3:8" ht="12.75">
      <c r="C64" s="94">
        <f>+C63*C17</f>
        <v>3.3920324044674897</v>
      </c>
      <c r="D64" s="94">
        <f>+D63*D17</f>
        <v>0.317739686610605</v>
      </c>
      <c r="E64" s="94">
        <f>+E63*E17</f>
        <v>0.15679720429447955</v>
      </c>
      <c r="F64" s="94">
        <f>+F63*F17</f>
        <v>1.3942181293512688</v>
      </c>
      <c r="G64" s="94">
        <f>+G63*G17</f>
        <v>11.116310692148762</v>
      </c>
      <c r="H64" s="94">
        <f>SUM(C64:G64)</f>
        <v>16.377098116872602</v>
      </c>
    </row>
    <row r="65" spans="5:7" ht="12.75">
      <c r="E65" s="25" t="s">
        <v>44</v>
      </c>
      <c r="F65" s="118">
        <f>+'PMC 01'!F65</f>
        <v>24.3</v>
      </c>
      <c r="G65" s="25" t="s">
        <v>31</v>
      </c>
    </row>
    <row r="66" spans="5:7" ht="12.75">
      <c r="E66" s="25" t="s">
        <v>112</v>
      </c>
      <c r="F66" s="118">
        <f>+'PMC 01'!F66</f>
        <v>24.3</v>
      </c>
      <c r="G66" s="25" t="s">
        <v>31</v>
      </c>
    </row>
    <row r="67" spans="4:15" ht="12.75">
      <c r="D67" s="25" t="s">
        <v>28</v>
      </c>
      <c r="E67" s="25" t="s">
        <v>29</v>
      </c>
      <c r="F67" s="25" t="s">
        <v>30</v>
      </c>
      <c r="M67" s="25" t="s">
        <v>28</v>
      </c>
      <c r="N67" s="25" t="s">
        <v>29</v>
      </c>
      <c r="O67" s="25" t="s">
        <v>30</v>
      </c>
    </row>
    <row r="68" spans="2:15" ht="12.75">
      <c r="B68" s="26" t="s">
        <v>24</v>
      </c>
      <c r="C68" s="118">
        <f>+'PMC 01'!C68</f>
        <v>2</v>
      </c>
      <c r="D68" s="118">
        <f>+'PMC 01'!D68</f>
        <v>50</v>
      </c>
      <c r="E68" s="118">
        <f>+'PMC 01'!E68</f>
        <v>50</v>
      </c>
      <c r="F68" s="50">
        <f>+C68*E68/100/F$65</f>
        <v>0.0411522633744856</v>
      </c>
      <c r="K68" s="26" t="s">
        <v>24</v>
      </c>
      <c r="L68" s="118">
        <f>+'PMC 01'!L68</f>
        <v>2</v>
      </c>
      <c r="M68" s="118">
        <f>+'PMC 01'!M68</f>
        <v>50</v>
      </c>
      <c r="N68" s="118">
        <f>+'PMC 01'!N68</f>
        <v>50</v>
      </c>
      <c r="O68" s="50">
        <f>+L68*N68/100/F$65</f>
        <v>0.0411522633744856</v>
      </c>
    </row>
    <row r="69" spans="2:15" ht="12.75">
      <c r="B69" s="26" t="s">
        <v>5</v>
      </c>
      <c r="C69" s="118">
        <f>+'PMC 01'!C69</f>
        <v>5</v>
      </c>
      <c r="D69" s="118">
        <f>+'PMC 01'!D69</f>
        <v>0</v>
      </c>
      <c r="E69" s="118">
        <f>+'PMC 01'!E69</f>
        <v>100</v>
      </c>
      <c r="F69" s="50">
        <f>+C69*E69/100/F$65</f>
        <v>0.205761316872428</v>
      </c>
      <c r="K69" s="26" t="s">
        <v>5</v>
      </c>
      <c r="L69" s="118">
        <f>+'PMC 01'!L69</f>
        <v>5</v>
      </c>
      <c r="M69" s="118">
        <f>+'PMC 01'!M69</f>
        <v>0</v>
      </c>
      <c r="N69" s="118">
        <f>+'PMC 01'!N69</f>
        <v>100</v>
      </c>
      <c r="O69" s="51">
        <f>+L69*N69/100/F$65</f>
        <v>0.205761316872428</v>
      </c>
    </row>
    <row r="70" spans="2:15" ht="12.75">
      <c r="B70" s="25" t="s">
        <v>26</v>
      </c>
      <c r="C70" s="118">
        <f>+'PMC 01'!C70</f>
        <v>20</v>
      </c>
      <c r="D70" s="118">
        <f>+'PMC 01'!D70</f>
        <v>0</v>
      </c>
      <c r="E70" s="118">
        <f>+'PMC 01'!E70</f>
        <v>100</v>
      </c>
      <c r="F70" s="50">
        <f>+C70*E70/100/F$65</f>
        <v>0.823045267489712</v>
      </c>
      <c r="K70" s="25" t="s">
        <v>26</v>
      </c>
      <c r="L70" s="118">
        <f>+'PMC 01'!L70</f>
        <v>20</v>
      </c>
      <c r="M70" s="118">
        <f>+'PMC 01'!M70</f>
        <v>0</v>
      </c>
      <c r="N70" s="118">
        <f>+'PMC 01'!N70</f>
        <v>100</v>
      </c>
      <c r="O70" s="51">
        <f>+L70*N70/100/F$65</f>
        <v>0.823045267489712</v>
      </c>
    </row>
    <row r="71" spans="2:15" ht="12.75">
      <c r="B71" s="25" t="s">
        <v>25</v>
      </c>
      <c r="C71" s="118">
        <f>+'PMC 01'!C71</f>
        <v>200</v>
      </c>
      <c r="D71" s="118">
        <f>+'PMC 01'!D71</f>
        <v>50</v>
      </c>
      <c r="E71" s="118">
        <f>+'PMC 01'!E71</f>
        <v>50</v>
      </c>
      <c r="F71" s="50">
        <f>+C71*E71/100/F$65</f>
        <v>4.11522633744856</v>
      </c>
      <c r="K71" s="25" t="s">
        <v>25</v>
      </c>
      <c r="L71" s="118">
        <f>+'PMC 01'!L71</f>
        <v>200</v>
      </c>
      <c r="M71" s="118">
        <f>+'PMC 01'!M71</f>
        <v>50</v>
      </c>
      <c r="N71" s="118">
        <f>+'PMC 01'!N71</f>
        <v>50</v>
      </c>
      <c r="O71" s="51">
        <f>+L71*N71/100/F$65</f>
        <v>4.11522633744856</v>
      </c>
    </row>
    <row r="72" spans="2:15" ht="12.75">
      <c r="B72" s="25" t="s">
        <v>27</v>
      </c>
      <c r="C72" s="118">
        <f>+'PMC 01'!C72</f>
        <v>2000</v>
      </c>
      <c r="D72" s="118">
        <f>+'PMC 01'!D72</f>
        <v>50</v>
      </c>
      <c r="E72" s="118">
        <f>+'PMC 01'!E72</f>
        <v>50</v>
      </c>
      <c r="F72" s="51">
        <f>+C72*E72/100/F$65</f>
        <v>41.15226337448559</v>
      </c>
      <c r="K72" s="25" t="s">
        <v>53</v>
      </c>
      <c r="L72" s="118">
        <f>+'PMC 01'!L72</f>
        <v>2000</v>
      </c>
      <c r="M72" s="118">
        <f>+'PMC 01'!M72</f>
        <v>50</v>
      </c>
      <c r="N72" s="118">
        <f>+'PMC 01'!N72</f>
        <v>50</v>
      </c>
      <c r="O72" s="51">
        <f>+L72*N72/100/F$65</f>
        <v>41.15226337448559</v>
      </c>
    </row>
    <row r="75" spans="1:15" ht="12.75">
      <c r="A75" s="1" t="s">
        <v>35</v>
      </c>
      <c r="C75" s="25" t="s">
        <v>109</v>
      </c>
      <c r="D75" s="25" t="s">
        <v>110</v>
      </c>
      <c r="E75" s="25" t="s">
        <v>111</v>
      </c>
      <c r="F75" s="1" t="s">
        <v>21</v>
      </c>
      <c r="J75" s="1" t="s">
        <v>35</v>
      </c>
      <c r="L75" s="25" t="s">
        <v>109</v>
      </c>
      <c r="M75" s="25" t="s">
        <v>110</v>
      </c>
      <c r="N75" s="25" t="s">
        <v>111</v>
      </c>
      <c r="O75" s="1" t="s">
        <v>21</v>
      </c>
    </row>
    <row r="76" spans="1:15" ht="12.75">
      <c r="A76" s="25" t="s">
        <v>1</v>
      </c>
      <c r="B76" s="25" t="s">
        <v>0</v>
      </c>
      <c r="C76" s="52">
        <f>+C68*D68/100</f>
        <v>1</v>
      </c>
      <c r="D76" s="53">
        <f>+F68</f>
        <v>0.0411522633744856</v>
      </c>
      <c r="E76" s="84">
        <f>+D76*F$66</f>
        <v>1</v>
      </c>
      <c r="F76" s="3">
        <f>+E76+C76</f>
        <v>2</v>
      </c>
      <c r="J76" s="25" t="s">
        <v>1</v>
      </c>
      <c r="K76" s="25" t="s">
        <v>0</v>
      </c>
      <c r="L76" s="52">
        <f>+L68*M68/100</f>
        <v>1</v>
      </c>
      <c r="M76" s="53">
        <f>+O68</f>
        <v>0.0411522633744856</v>
      </c>
      <c r="N76" s="84">
        <f>+M76*F$66</f>
        <v>1</v>
      </c>
      <c r="O76" s="3">
        <f>+N76+L76</f>
        <v>2</v>
      </c>
    </row>
    <row r="77" spans="1:15" ht="12.75">
      <c r="A77" s="25" t="s">
        <v>5</v>
      </c>
      <c r="B77" s="25" t="s">
        <v>0</v>
      </c>
      <c r="C77" s="52">
        <f>+C69*D69/100</f>
        <v>0</v>
      </c>
      <c r="D77" s="53">
        <f>+F69</f>
        <v>0.205761316872428</v>
      </c>
      <c r="E77" s="84">
        <f>+D77*F$66</f>
        <v>5</v>
      </c>
      <c r="F77" s="3">
        <f>+E77+C77</f>
        <v>5</v>
      </c>
      <c r="J77" s="25" t="s">
        <v>5</v>
      </c>
      <c r="K77" s="25" t="s">
        <v>0</v>
      </c>
      <c r="L77" s="52">
        <f>+L69*M69/100</f>
        <v>0</v>
      </c>
      <c r="M77" s="53">
        <f>+O69</f>
        <v>0.205761316872428</v>
      </c>
      <c r="N77" s="84">
        <f>+M77*F$66</f>
        <v>5</v>
      </c>
      <c r="O77" s="3">
        <f>+N77+L77</f>
        <v>5</v>
      </c>
    </row>
    <row r="78" spans="1:15" ht="12.75">
      <c r="A78" s="25" t="s">
        <v>10</v>
      </c>
      <c r="B78" s="25" t="s">
        <v>0</v>
      </c>
      <c r="C78" s="52">
        <f>+C70*D70/100</f>
        <v>0</v>
      </c>
      <c r="D78" s="53">
        <f>+F70</f>
        <v>0.823045267489712</v>
      </c>
      <c r="E78" s="84">
        <f>+D78*F$66</f>
        <v>20</v>
      </c>
      <c r="F78" s="3">
        <f>+E78+C78</f>
        <v>20</v>
      </c>
      <c r="J78" s="25" t="s">
        <v>10</v>
      </c>
      <c r="K78" s="25" t="s">
        <v>0</v>
      </c>
      <c r="L78" s="52">
        <f>+L70*M70/100</f>
        <v>0</v>
      </c>
      <c r="M78" s="53">
        <f>+O70</f>
        <v>0.823045267489712</v>
      </c>
      <c r="N78" s="84">
        <f>+M78*F$66</f>
        <v>20</v>
      </c>
      <c r="O78" s="3">
        <f>+N78+L78</f>
        <v>20</v>
      </c>
    </row>
    <row r="79" spans="1:15" ht="12.75">
      <c r="A79" s="25" t="s">
        <v>38</v>
      </c>
      <c r="B79" s="25" t="s">
        <v>0</v>
      </c>
      <c r="C79" s="52">
        <f>+C71*D71/100</f>
        <v>100</v>
      </c>
      <c r="D79" s="53">
        <f>+F71</f>
        <v>4.11522633744856</v>
      </c>
      <c r="E79" s="84">
        <f>+D79*F$66</f>
        <v>100</v>
      </c>
      <c r="F79" s="3">
        <f>+E79+C79</f>
        <v>200</v>
      </c>
      <c r="J79" s="25" t="s">
        <v>38</v>
      </c>
      <c r="K79" s="25" t="s">
        <v>0</v>
      </c>
      <c r="L79" s="52">
        <f>+L71*M71/100</f>
        <v>100</v>
      </c>
      <c r="M79" s="53">
        <f>+O71</f>
        <v>4.11522633744856</v>
      </c>
      <c r="N79" s="84">
        <f>+M79*F$66</f>
        <v>100</v>
      </c>
      <c r="O79" s="3">
        <f>+N79+L79</f>
        <v>200</v>
      </c>
    </row>
    <row r="80" spans="1:15" ht="12.75">
      <c r="A80" s="25" t="s">
        <v>53</v>
      </c>
      <c r="B80" s="25" t="s">
        <v>0</v>
      </c>
      <c r="C80" s="52">
        <f>+C72*D72/100</f>
        <v>1000</v>
      </c>
      <c r="D80" s="53">
        <f>+F72</f>
        <v>41.15226337448559</v>
      </c>
      <c r="E80" s="84">
        <f>+D80*F$66</f>
        <v>999.9999999999999</v>
      </c>
      <c r="F80" s="3">
        <f>+E80+C80</f>
        <v>2000</v>
      </c>
      <c r="J80" s="25" t="s">
        <v>53</v>
      </c>
      <c r="K80" s="25" t="s">
        <v>0</v>
      </c>
      <c r="L80" s="52">
        <f>+L72*M72/100</f>
        <v>1000</v>
      </c>
      <c r="M80" s="53">
        <f>+O72</f>
        <v>41.15226337448559</v>
      </c>
      <c r="N80" s="84">
        <f>+M80*F$66</f>
        <v>999.9999999999999</v>
      </c>
      <c r="O80" s="3">
        <f>+N80+L80</f>
        <v>2000</v>
      </c>
    </row>
    <row r="83" ht="12.75">
      <c r="A83" s="1"/>
    </row>
    <row r="84" ht="12.75">
      <c r="A84" s="1" t="s">
        <v>182</v>
      </c>
    </row>
    <row r="85" spans="1:3" ht="12.75">
      <c r="A85" s="25" t="s">
        <v>193</v>
      </c>
      <c r="B85" s="147">
        <f>+'PMC 01'!B85</f>
        <v>400</v>
      </c>
      <c r="C85" s="26" t="s">
        <v>183</v>
      </c>
    </row>
    <row r="86" spans="1:3" ht="12.75">
      <c r="A86" s="25" t="s">
        <v>71</v>
      </c>
      <c r="B86" s="151">
        <f>+'PMC 01'!B86</f>
        <v>230.16167553565288</v>
      </c>
      <c r="C86" s="26" t="s">
        <v>181</v>
      </c>
    </row>
    <row r="87" spans="1:2" ht="12.75">
      <c r="A87" s="25" t="s">
        <v>23</v>
      </c>
      <c r="B87" s="118"/>
    </row>
    <row r="88" spans="1:3" ht="12.75">
      <c r="A88" s="25" t="s">
        <v>124</v>
      </c>
      <c r="B88" s="147">
        <f>+'PMC 01'!B88</f>
        <v>12000</v>
      </c>
      <c r="C88" s="25" t="s">
        <v>72</v>
      </c>
    </row>
    <row r="89" spans="1:2" ht="12.75" customHeight="1">
      <c r="A89" s="25" t="s">
        <v>73</v>
      </c>
      <c r="B89" s="148">
        <f>+'PMC 01'!B89</f>
        <v>0.2</v>
      </c>
    </row>
    <row r="90" spans="1:4" ht="12.75" customHeight="1">
      <c r="A90" s="25" t="s">
        <v>74</v>
      </c>
      <c r="B90" s="148">
        <f>+'PMC 01'!B90</f>
        <v>0.4</v>
      </c>
      <c r="C90" s="147">
        <f>+'PMC 01'!C90</f>
        <v>3840</v>
      </c>
      <c r="D90" s="25" t="s">
        <v>78</v>
      </c>
    </row>
    <row r="91" spans="1:4" ht="12.75" customHeight="1">
      <c r="A91" s="25" t="s">
        <v>75</v>
      </c>
      <c r="B91" s="148">
        <f>+'PMC 01'!B91</f>
        <v>0.6</v>
      </c>
      <c r="C91" s="147">
        <f>+'PMC 01'!C91</f>
        <v>5760</v>
      </c>
      <c r="D91" s="25" t="s">
        <v>78</v>
      </c>
    </row>
    <row r="92" ht="12.75" customHeight="1"/>
    <row r="93" spans="1:18" ht="12.75" customHeight="1">
      <c r="A93" s="16"/>
      <c r="B93" s="55"/>
      <c r="C93" s="27" t="s">
        <v>51</v>
      </c>
      <c r="D93" s="27" t="s">
        <v>58</v>
      </c>
      <c r="E93" s="27" t="s">
        <v>59</v>
      </c>
      <c r="F93" s="27" t="s">
        <v>108</v>
      </c>
      <c r="G93" s="27" t="s">
        <v>52</v>
      </c>
      <c r="H93" s="39" t="s">
        <v>6</v>
      </c>
      <c r="J93" s="16"/>
      <c r="K93" s="55"/>
      <c r="L93" s="27" t="s">
        <v>51</v>
      </c>
      <c r="M93" s="27" t="s">
        <v>58</v>
      </c>
      <c r="N93" s="27" t="s">
        <v>59</v>
      </c>
      <c r="O93" s="27" t="s">
        <v>60</v>
      </c>
      <c r="P93" s="27" t="s">
        <v>52</v>
      </c>
      <c r="Q93" s="39" t="s">
        <v>6</v>
      </c>
      <c r="R93" s="39" t="s">
        <v>91</v>
      </c>
    </row>
    <row r="94" spans="1:18" ht="12.75" customHeight="1">
      <c r="A94" s="14" t="s">
        <v>79</v>
      </c>
      <c r="B94" s="55"/>
      <c r="C94" s="27"/>
      <c r="D94" s="27"/>
      <c r="E94" s="27"/>
      <c r="F94" s="27"/>
      <c r="G94" s="27"/>
      <c r="H94" s="39"/>
      <c r="J94" s="14" t="s">
        <v>79</v>
      </c>
      <c r="K94" s="55"/>
      <c r="L94" s="27"/>
      <c r="M94" s="27"/>
      <c r="N94" s="27"/>
      <c r="O94" s="27"/>
      <c r="P94" s="27"/>
      <c r="Q94" s="39"/>
      <c r="R94" s="16"/>
    </row>
    <row r="95" spans="1:18" ht="12.75" customHeight="1">
      <c r="A95" s="15" t="s">
        <v>2</v>
      </c>
      <c r="B95" s="55"/>
      <c r="C95" s="27"/>
      <c r="D95" s="27"/>
      <c r="E95" s="27"/>
      <c r="F95" s="27"/>
      <c r="G95" s="27"/>
      <c r="H95" s="39"/>
      <c r="J95" s="15" t="s">
        <v>2</v>
      </c>
      <c r="K95" s="55"/>
      <c r="L95" s="27"/>
      <c r="M95" s="27"/>
      <c r="N95" s="27"/>
      <c r="O95" s="27"/>
      <c r="P95" s="27"/>
      <c r="Q95" s="39"/>
      <c r="R95" s="16"/>
    </row>
    <row r="96" spans="1:18" ht="12.75" customHeight="1">
      <c r="A96" s="16" t="s">
        <v>76</v>
      </c>
      <c r="B96" s="16" t="s">
        <v>3</v>
      </c>
      <c r="C96" s="56">
        <f>+$C$90*C24*$C$76</f>
        <v>3744</v>
      </c>
      <c r="D96" s="56">
        <f>+$C$90*D24*$C$76</f>
        <v>26.88</v>
      </c>
      <c r="E96" s="56">
        <f>+$C$90*E24*$C$76</f>
        <v>11.52</v>
      </c>
      <c r="F96" s="56">
        <f>+$C$90*F24*$C$76</f>
        <v>19.2</v>
      </c>
      <c r="G96" s="56">
        <f>+$C$90*G24*$C$76</f>
        <v>38.4</v>
      </c>
      <c r="H96" s="57">
        <f>SUM(C96:G96)</f>
        <v>3840</v>
      </c>
      <c r="J96" s="16" t="s">
        <v>76</v>
      </c>
      <c r="K96" s="16" t="s">
        <v>3</v>
      </c>
      <c r="L96" s="56">
        <f>+$C$91*L24*$L$76</f>
        <v>5696.64</v>
      </c>
      <c r="M96" s="56">
        <f>+$C$91*M24*$L$76</f>
        <v>5.76</v>
      </c>
      <c r="N96" s="56">
        <f>+$C$91*N24*$L$76</f>
        <v>14.4</v>
      </c>
      <c r="O96" s="56">
        <f>+$C$91*O24*$L$76</f>
        <v>14.4</v>
      </c>
      <c r="P96" s="56">
        <f>+$C$91*P24*$L$76</f>
        <v>28.8</v>
      </c>
      <c r="Q96" s="57">
        <f>SUM(L96:P96)</f>
        <v>5760</v>
      </c>
      <c r="R96" s="57">
        <f>+Q96+H96</f>
        <v>9600</v>
      </c>
    </row>
    <row r="97" spans="1:18" ht="12.75" customHeight="1">
      <c r="A97" s="17" t="s">
        <v>77</v>
      </c>
      <c r="B97" s="16" t="s">
        <v>3</v>
      </c>
      <c r="C97" s="56">
        <f>+$C$90*C24*$E$76</f>
        <v>3744</v>
      </c>
      <c r="D97" s="56">
        <f>+$C$90*D24*$E$76</f>
        <v>26.88</v>
      </c>
      <c r="E97" s="56">
        <f>+$C$90*E24*$E$76</f>
        <v>11.52</v>
      </c>
      <c r="F97" s="56">
        <f>+$C$90*F24*$E$76</f>
        <v>19.2</v>
      </c>
      <c r="G97" s="56">
        <f>+$C$90*G24*$E$76</f>
        <v>38.4</v>
      </c>
      <c r="H97" s="57">
        <f aca="true" t="shared" si="18" ref="H97:H117">SUM(C97:G97)</f>
        <v>3840</v>
      </c>
      <c r="J97" s="17" t="s">
        <v>77</v>
      </c>
      <c r="K97" s="16" t="s">
        <v>3</v>
      </c>
      <c r="L97" s="56">
        <f>+$C$91*L24*$N$76</f>
        <v>5696.64</v>
      </c>
      <c r="M97" s="56">
        <f>+$C$91*M24*$N$76</f>
        <v>5.76</v>
      </c>
      <c r="N97" s="56">
        <f>+$C$91*N24*$N$76</f>
        <v>14.4</v>
      </c>
      <c r="O97" s="56">
        <f>+$C$91*O24*$N$76</f>
        <v>14.4</v>
      </c>
      <c r="P97" s="56">
        <f>+$C$91*P24*$N$76</f>
        <v>28.8</v>
      </c>
      <c r="Q97" s="57">
        <f>SUM(L97:P97)</f>
        <v>5760</v>
      </c>
      <c r="R97" s="57">
        <f aca="true" t="shared" si="19" ref="R97:R140">+Q97+H97</f>
        <v>9600</v>
      </c>
    </row>
    <row r="98" spans="1:18" ht="12.75" customHeight="1">
      <c r="A98" s="18" t="s">
        <v>54</v>
      </c>
      <c r="B98" s="16" t="s">
        <v>3</v>
      </c>
      <c r="C98" s="19">
        <f>SUM(C96:C97)</f>
        <v>7488</v>
      </c>
      <c r="D98" s="19">
        <f>SUM(D96:D97)</f>
        <v>53.76</v>
      </c>
      <c r="E98" s="19">
        <f>SUM(E96:E97)</f>
        <v>23.04</v>
      </c>
      <c r="F98" s="19">
        <f>SUM(F96:F97)</f>
        <v>38.4</v>
      </c>
      <c r="G98" s="19">
        <f>SUM(G96:G97)</f>
        <v>76.8</v>
      </c>
      <c r="H98" s="20">
        <f t="shared" si="18"/>
        <v>7680</v>
      </c>
      <c r="J98" s="18" t="s">
        <v>54</v>
      </c>
      <c r="K98" s="16" t="s">
        <v>3</v>
      </c>
      <c r="L98" s="19">
        <f>SUM(L96:L97)</f>
        <v>11393.28</v>
      </c>
      <c r="M98" s="19">
        <f>SUM(M96:M97)</f>
        <v>11.52</v>
      </c>
      <c r="N98" s="19">
        <f>SUM(N96:N97)</f>
        <v>28.8</v>
      </c>
      <c r="O98" s="19">
        <f>SUM(O96:O97)</f>
        <v>28.8</v>
      </c>
      <c r="P98" s="19">
        <f>SUM(P96:P97)</f>
        <v>57.6</v>
      </c>
      <c r="Q98" s="20">
        <f>SUM(L98:P98)</f>
        <v>11520</v>
      </c>
      <c r="R98" s="20">
        <f t="shared" si="19"/>
        <v>19200</v>
      </c>
    </row>
    <row r="99" spans="1:18" ht="12.75" customHeight="1">
      <c r="A99" s="15" t="s">
        <v>12</v>
      </c>
      <c r="B99" s="16"/>
      <c r="C99" s="19"/>
      <c r="D99" s="19"/>
      <c r="E99" s="19"/>
      <c r="F99" s="19"/>
      <c r="G99" s="19"/>
      <c r="H99" s="20"/>
      <c r="J99" s="15" t="s">
        <v>12</v>
      </c>
      <c r="K99" s="16"/>
      <c r="L99" s="19"/>
      <c r="M99" s="19"/>
      <c r="N99" s="19"/>
      <c r="O99" s="19"/>
      <c r="P99" s="19"/>
      <c r="Q99" s="20"/>
      <c r="R99" s="57"/>
    </row>
    <row r="100" spans="1:18" ht="12.75" customHeight="1">
      <c r="A100" s="16" t="s">
        <v>76</v>
      </c>
      <c r="B100" s="34" t="s">
        <v>11</v>
      </c>
      <c r="C100" s="56">
        <f>+$C$90*$C$77*C24</f>
        <v>0</v>
      </c>
      <c r="D100" s="56">
        <f>+$C$90*$C$77*D24</f>
        <v>0</v>
      </c>
      <c r="E100" s="56">
        <f>+$C$90*$C$77*E24</f>
        <v>0</v>
      </c>
      <c r="F100" s="56">
        <f>+$C$90*$C$77*F24</f>
        <v>0</v>
      </c>
      <c r="G100" s="56">
        <f>+$C$90*$C$77*G24</f>
        <v>0</v>
      </c>
      <c r="H100" s="57">
        <f t="shared" si="18"/>
        <v>0</v>
      </c>
      <c r="J100" s="16" t="s">
        <v>76</v>
      </c>
      <c r="K100" s="34" t="s">
        <v>11</v>
      </c>
      <c r="L100" s="56">
        <f>+$C$91*$L$77*L24</f>
        <v>0</v>
      </c>
      <c r="M100" s="56">
        <f>+$C$91*$L$77*M24</f>
        <v>0</v>
      </c>
      <c r="N100" s="56">
        <f>+$C$91*$L$77*N24</f>
        <v>0</v>
      </c>
      <c r="O100" s="56">
        <f>+$C$91*$L$77*O24</f>
        <v>0</v>
      </c>
      <c r="P100" s="56">
        <f>+$C$91*$L$77*P24</f>
        <v>0</v>
      </c>
      <c r="Q100" s="57">
        <f>SUM(L100:P100)</f>
        <v>0</v>
      </c>
      <c r="R100" s="57">
        <f t="shared" si="19"/>
        <v>0</v>
      </c>
    </row>
    <row r="101" spans="1:18" ht="12.75" customHeight="1">
      <c r="A101" s="17" t="s">
        <v>77</v>
      </c>
      <c r="B101" s="34" t="s">
        <v>11</v>
      </c>
      <c r="C101" s="56">
        <f>+$C$90*$E$77*C24</f>
        <v>18720</v>
      </c>
      <c r="D101" s="56">
        <f>+$C$90*$E$77*D24</f>
        <v>134.4</v>
      </c>
      <c r="E101" s="56">
        <f>+$C$90*$E$77*E24</f>
        <v>57.6</v>
      </c>
      <c r="F101" s="56">
        <f>+$C$90*$E$77*F24</f>
        <v>96</v>
      </c>
      <c r="G101" s="56">
        <f>+$C$90*$E$77*G24</f>
        <v>192</v>
      </c>
      <c r="H101" s="57">
        <f t="shared" si="18"/>
        <v>19200</v>
      </c>
      <c r="J101" s="17" t="s">
        <v>77</v>
      </c>
      <c r="K101" s="34" t="s">
        <v>11</v>
      </c>
      <c r="L101" s="56">
        <f>+$C$91*$N$77*L24</f>
        <v>28483.2</v>
      </c>
      <c r="M101" s="56">
        <f>+$C$91*$N$77*M24</f>
        <v>28.8</v>
      </c>
      <c r="N101" s="56">
        <f>+$C$91*$N$77*N24</f>
        <v>72</v>
      </c>
      <c r="O101" s="56">
        <f>+$C$91*$N$77*O24</f>
        <v>72</v>
      </c>
      <c r="P101" s="56">
        <f>+$C$91*$N$77*P24</f>
        <v>144</v>
      </c>
      <c r="Q101" s="57">
        <f>SUM(L101:P101)</f>
        <v>28800</v>
      </c>
      <c r="R101" s="57">
        <f t="shared" si="19"/>
        <v>48000</v>
      </c>
    </row>
    <row r="102" spans="1:18" ht="12.75" customHeight="1">
      <c r="A102" s="18" t="s">
        <v>55</v>
      </c>
      <c r="B102" s="34" t="s">
        <v>11</v>
      </c>
      <c r="C102" s="19">
        <f>SUM(C100:C101)</f>
        <v>18720</v>
      </c>
      <c r="D102" s="19">
        <f>SUM(D100:D101)</f>
        <v>134.4</v>
      </c>
      <c r="E102" s="19">
        <f>SUM(E100:E101)</f>
        <v>57.6</v>
      </c>
      <c r="F102" s="19">
        <f>SUM(F100:F101)</f>
        <v>96</v>
      </c>
      <c r="G102" s="19">
        <f>SUM(G100:G101)</f>
        <v>192</v>
      </c>
      <c r="H102" s="20">
        <f t="shared" si="18"/>
        <v>19200</v>
      </c>
      <c r="J102" s="18" t="s">
        <v>55</v>
      </c>
      <c r="K102" s="34" t="s">
        <v>11</v>
      </c>
      <c r="L102" s="19">
        <f>SUM(L100:L101)</f>
        <v>28483.2</v>
      </c>
      <c r="M102" s="19">
        <f>SUM(M100:M101)</f>
        <v>28.8</v>
      </c>
      <c r="N102" s="19">
        <f>SUM(N100:N101)</f>
        <v>72</v>
      </c>
      <c r="O102" s="19">
        <f>SUM(O100:O101)</f>
        <v>72</v>
      </c>
      <c r="P102" s="19">
        <f>SUM(P100:P101)</f>
        <v>144</v>
      </c>
      <c r="Q102" s="20">
        <f>SUM(L102:P102)</f>
        <v>28800</v>
      </c>
      <c r="R102" s="20">
        <f t="shared" si="19"/>
        <v>48000</v>
      </c>
    </row>
    <row r="103" spans="1:18" ht="12.75" customHeight="1">
      <c r="A103" s="15" t="s">
        <v>146</v>
      </c>
      <c r="B103" s="34"/>
      <c r="C103" s="19"/>
      <c r="D103" s="19"/>
      <c r="E103" s="19"/>
      <c r="F103" s="19"/>
      <c r="G103" s="19"/>
      <c r="H103" s="20"/>
      <c r="J103" s="15" t="s">
        <v>146</v>
      </c>
      <c r="K103" s="34"/>
      <c r="L103" s="19"/>
      <c r="M103" s="19"/>
      <c r="N103" s="19"/>
      <c r="O103" s="19"/>
      <c r="P103" s="19"/>
      <c r="Q103" s="20"/>
      <c r="R103" s="57"/>
    </row>
    <row r="104" spans="1:18" ht="12.75" customHeight="1">
      <c r="A104" s="16" t="s">
        <v>76</v>
      </c>
      <c r="B104" s="34" t="s">
        <v>15</v>
      </c>
      <c r="C104" s="56"/>
      <c r="D104" s="56">
        <f>+$C$90*D24*$C$78</f>
        <v>0</v>
      </c>
      <c r="E104" s="56">
        <f>+$C$90*E24*$C$78</f>
        <v>0</v>
      </c>
      <c r="F104" s="56">
        <f>+$C$90*F24*$C$78</f>
        <v>0</v>
      </c>
      <c r="G104" s="56">
        <f>+$C$90*G24*$C$78</f>
        <v>0</v>
      </c>
      <c r="H104" s="57">
        <f t="shared" si="18"/>
        <v>0</v>
      </c>
      <c r="J104" s="16" t="s">
        <v>76</v>
      </c>
      <c r="K104" s="34" t="s">
        <v>15</v>
      </c>
      <c r="L104" s="56"/>
      <c r="M104" s="56">
        <f>+$C$91*M24*$L$78</f>
        <v>0</v>
      </c>
      <c r="N104" s="56">
        <f>+$C$91*N24*$L$78</f>
        <v>0</v>
      </c>
      <c r="O104" s="56">
        <f>+$C$91*O24*$L$78</f>
        <v>0</v>
      </c>
      <c r="P104" s="56">
        <f>+$C$91*P24*$L$78</f>
        <v>0</v>
      </c>
      <c r="Q104" s="57">
        <f>SUM(L104:P104)</f>
        <v>0</v>
      </c>
      <c r="R104" s="57">
        <f t="shared" si="19"/>
        <v>0</v>
      </c>
    </row>
    <row r="105" spans="1:18" ht="12.75" customHeight="1">
      <c r="A105" s="17" t="s">
        <v>77</v>
      </c>
      <c r="B105" s="34" t="s">
        <v>15</v>
      </c>
      <c r="C105" s="56"/>
      <c r="D105" s="56">
        <f>+$C$90*$E$78*D24</f>
        <v>537.6</v>
      </c>
      <c r="E105" s="56">
        <f>+$C$90*$E$78*E24</f>
        <v>230.4</v>
      </c>
      <c r="F105" s="56">
        <f>+$C$90*$E$78*F24</f>
        <v>384</v>
      </c>
      <c r="G105" s="56">
        <f>+$C$90*$E$78*G24</f>
        <v>768</v>
      </c>
      <c r="H105" s="57">
        <f t="shared" si="18"/>
        <v>1920</v>
      </c>
      <c r="J105" s="17" t="s">
        <v>77</v>
      </c>
      <c r="K105" s="34" t="s">
        <v>15</v>
      </c>
      <c r="L105" s="56"/>
      <c r="M105" s="56">
        <f>+$C$91*$N$78*M24</f>
        <v>115.2</v>
      </c>
      <c r="N105" s="56">
        <f>+$C$91*$N$78*N24</f>
        <v>288</v>
      </c>
      <c r="O105" s="56">
        <f>+$C$91*$N$78*O24</f>
        <v>288</v>
      </c>
      <c r="P105" s="56">
        <f>+$C$91*$N$78*P24</f>
        <v>576</v>
      </c>
      <c r="Q105" s="57">
        <f>SUM(L105:P105)</f>
        <v>1267.2</v>
      </c>
      <c r="R105" s="57">
        <f t="shared" si="19"/>
        <v>3187.2</v>
      </c>
    </row>
    <row r="106" spans="1:18" ht="12.75" customHeight="1">
      <c r="A106" s="18" t="s">
        <v>80</v>
      </c>
      <c r="B106" s="34" t="s">
        <v>15</v>
      </c>
      <c r="C106" s="20">
        <f aca="true" t="shared" si="20" ref="C106:H106">SUM(C104:C105)</f>
        <v>0</v>
      </c>
      <c r="D106" s="20">
        <f t="shared" si="20"/>
        <v>537.6</v>
      </c>
      <c r="E106" s="20">
        <f t="shared" si="20"/>
        <v>230.4</v>
      </c>
      <c r="F106" s="20">
        <f t="shared" si="20"/>
        <v>384</v>
      </c>
      <c r="G106" s="20">
        <f t="shared" si="20"/>
        <v>768</v>
      </c>
      <c r="H106" s="20">
        <f t="shared" si="20"/>
        <v>1920</v>
      </c>
      <c r="J106" s="18" t="s">
        <v>80</v>
      </c>
      <c r="K106" s="34" t="s">
        <v>15</v>
      </c>
      <c r="L106" s="20"/>
      <c r="M106" s="20">
        <f>SUM(M104:M105)</f>
        <v>115.2</v>
      </c>
      <c r="N106" s="20">
        <f>SUM(N104:N105)</f>
        <v>288</v>
      </c>
      <c r="O106" s="20">
        <f>SUM(O104:O105)</f>
        <v>288</v>
      </c>
      <c r="P106" s="20">
        <f>SUM(P104:P105)</f>
        <v>576</v>
      </c>
      <c r="Q106" s="20">
        <f>SUM(Q104:Q105)</f>
        <v>1267.2</v>
      </c>
      <c r="R106" s="20">
        <f t="shared" si="19"/>
        <v>3187.2</v>
      </c>
    </row>
    <row r="107" spans="1:18" ht="12.75" customHeight="1">
      <c r="A107" s="15" t="s">
        <v>151</v>
      </c>
      <c r="B107" s="34"/>
      <c r="C107" s="20"/>
      <c r="D107" s="20"/>
      <c r="E107" s="20"/>
      <c r="F107" s="20"/>
      <c r="G107" s="20"/>
      <c r="H107" s="20"/>
      <c r="J107" s="15" t="s">
        <v>151</v>
      </c>
      <c r="K107" s="34"/>
      <c r="L107" s="20"/>
      <c r="M107" s="20"/>
      <c r="N107" s="20"/>
      <c r="O107" s="20"/>
      <c r="P107" s="20"/>
      <c r="Q107" s="20"/>
      <c r="R107" s="57"/>
    </row>
    <row r="108" spans="1:18" ht="12.75" customHeight="1">
      <c r="A108" s="16" t="s">
        <v>76</v>
      </c>
      <c r="B108" s="34" t="s">
        <v>16</v>
      </c>
      <c r="C108" s="56"/>
      <c r="D108" s="56"/>
      <c r="E108" s="58">
        <f>+$C$90*$C$79*E27</f>
        <v>806.4</v>
      </c>
      <c r="F108" s="58">
        <f>+$C$90*$C$79*F27</f>
        <v>1343.9999999999998</v>
      </c>
      <c r="G108" s="58">
        <f>+$C$90*$C$79*G27</f>
        <v>2687.9999999999995</v>
      </c>
      <c r="H108" s="57">
        <f t="shared" si="18"/>
        <v>4838.4</v>
      </c>
      <c r="J108" s="16" t="s">
        <v>76</v>
      </c>
      <c r="K108" s="34" t="s">
        <v>16</v>
      </c>
      <c r="L108" s="56"/>
      <c r="M108" s="56"/>
      <c r="N108" s="58">
        <f>+$C$91*$L$79*N27</f>
        <v>1007.9999999999999</v>
      </c>
      <c r="O108" s="58">
        <f>+$C$91*$L$79*O27</f>
        <v>1007.9999999999999</v>
      </c>
      <c r="P108" s="58">
        <f>+$C$91*$L$79*P27</f>
        <v>2015.9999999999998</v>
      </c>
      <c r="Q108" s="57">
        <f>SUM(L108:P108)</f>
        <v>4031.9999999999995</v>
      </c>
      <c r="R108" s="57">
        <f t="shared" si="19"/>
        <v>8870.4</v>
      </c>
    </row>
    <row r="109" spans="1:18" ht="12.75" customHeight="1">
      <c r="A109" s="17" t="s">
        <v>77</v>
      </c>
      <c r="B109" s="34" t="s">
        <v>16</v>
      </c>
      <c r="C109" s="56"/>
      <c r="D109" s="56"/>
      <c r="E109" s="58">
        <f>+$C$90*$E$79*E27</f>
        <v>806.4</v>
      </c>
      <c r="F109" s="58">
        <f>+$C$90*$E$79*F27</f>
        <v>1343.9999999999998</v>
      </c>
      <c r="G109" s="58">
        <f>+$C$90*$E$79*G27</f>
        <v>2687.9999999999995</v>
      </c>
      <c r="H109" s="57">
        <f t="shared" si="18"/>
        <v>4838.4</v>
      </c>
      <c r="J109" s="17" t="s">
        <v>77</v>
      </c>
      <c r="K109" s="34" t="s">
        <v>16</v>
      </c>
      <c r="L109" s="56"/>
      <c r="M109" s="56"/>
      <c r="N109" s="58">
        <f>+$C$91*$N$79*N27</f>
        <v>1007.9999999999999</v>
      </c>
      <c r="O109" s="58">
        <f>+$C$91*$N$79*O27</f>
        <v>1007.9999999999999</v>
      </c>
      <c r="P109" s="58">
        <f>+$C$91*$N$79*P27</f>
        <v>2015.9999999999998</v>
      </c>
      <c r="Q109" s="57">
        <f>SUM(L109:P109)</f>
        <v>4031.9999999999995</v>
      </c>
      <c r="R109" s="57">
        <f t="shared" si="19"/>
        <v>8870.4</v>
      </c>
    </row>
    <row r="110" spans="1:18" ht="12.75" customHeight="1">
      <c r="A110" s="18" t="s">
        <v>81</v>
      </c>
      <c r="B110" s="34" t="s">
        <v>16</v>
      </c>
      <c r="C110" s="20">
        <f aca="true" t="shared" si="21" ref="C110:H110">SUM(C108:C109)</f>
        <v>0</v>
      </c>
      <c r="D110" s="20">
        <f t="shared" si="21"/>
        <v>0</v>
      </c>
      <c r="E110" s="20">
        <f t="shared" si="21"/>
        <v>1612.8</v>
      </c>
      <c r="F110" s="20">
        <f t="shared" si="21"/>
        <v>2687.9999999999995</v>
      </c>
      <c r="G110" s="20">
        <f t="shared" si="21"/>
        <v>5375.999999999999</v>
      </c>
      <c r="H110" s="20">
        <f t="shared" si="21"/>
        <v>9676.8</v>
      </c>
      <c r="J110" s="18" t="s">
        <v>81</v>
      </c>
      <c r="K110" s="34" t="s">
        <v>16</v>
      </c>
      <c r="L110" s="20">
        <f aca="true" t="shared" si="22" ref="L110:Q110">SUM(L108:L109)</f>
        <v>0</v>
      </c>
      <c r="M110" s="20">
        <f t="shared" si="22"/>
        <v>0</v>
      </c>
      <c r="N110" s="20">
        <f t="shared" si="22"/>
        <v>2015.9999999999998</v>
      </c>
      <c r="O110" s="20">
        <f t="shared" si="22"/>
        <v>2015.9999999999998</v>
      </c>
      <c r="P110" s="20">
        <f t="shared" si="22"/>
        <v>4031.9999999999995</v>
      </c>
      <c r="Q110" s="20">
        <f t="shared" si="22"/>
        <v>8063.999999999999</v>
      </c>
      <c r="R110" s="20">
        <f t="shared" si="19"/>
        <v>17740.8</v>
      </c>
    </row>
    <row r="111" spans="1:18" ht="12.75" customHeight="1">
      <c r="A111" s="15" t="s">
        <v>82</v>
      </c>
      <c r="B111" s="34"/>
      <c r="C111" s="20"/>
      <c r="D111" s="20"/>
      <c r="E111" s="20"/>
      <c r="F111" s="20"/>
      <c r="G111" s="20"/>
      <c r="H111" s="20"/>
      <c r="J111" s="15" t="s">
        <v>82</v>
      </c>
      <c r="K111" s="34"/>
      <c r="L111" s="20"/>
      <c r="M111" s="20"/>
      <c r="N111" s="20"/>
      <c r="O111" s="20"/>
      <c r="P111" s="20"/>
      <c r="Q111" s="20"/>
      <c r="R111" s="57"/>
    </row>
    <row r="112" spans="1:18" ht="12.75" customHeight="1">
      <c r="A112" s="16" t="s">
        <v>76</v>
      </c>
      <c r="B112" s="34" t="s">
        <v>56</v>
      </c>
      <c r="C112" s="56"/>
      <c r="D112" s="56">
        <f>+$C$90*$C$77*D$24</f>
        <v>0</v>
      </c>
      <c r="E112" s="56">
        <f>+$C$90*$C$77*E$24</f>
        <v>0</v>
      </c>
      <c r="F112" s="56">
        <f>+$C$90*$C$77*F$24</f>
        <v>0</v>
      </c>
      <c r="G112" s="56">
        <f>+$C$90*$C$77*G$24</f>
        <v>0</v>
      </c>
      <c r="H112" s="57">
        <f t="shared" si="18"/>
        <v>0</v>
      </c>
      <c r="J112" s="16" t="s">
        <v>76</v>
      </c>
      <c r="K112" s="34" t="s">
        <v>56</v>
      </c>
      <c r="L112" s="56"/>
      <c r="M112" s="56">
        <f>+$C$91*$L$77*M$24</f>
        <v>0</v>
      </c>
      <c r="N112" s="56">
        <f>+$C$91*$L$77*N$24</f>
        <v>0</v>
      </c>
      <c r="O112" s="56">
        <f>+$C$91*$L$77*O$24</f>
        <v>0</v>
      </c>
      <c r="P112" s="56">
        <f>+$C$91*$L$77*P$24</f>
        <v>0</v>
      </c>
      <c r="Q112" s="57">
        <f>SUM(L112:P112)</f>
        <v>0</v>
      </c>
      <c r="R112" s="57">
        <f t="shared" si="19"/>
        <v>0</v>
      </c>
    </row>
    <row r="113" spans="1:18" ht="12.75" customHeight="1">
      <c r="A113" s="17" t="s">
        <v>77</v>
      </c>
      <c r="B113" s="34" t="s">
        <v>56</v>
      </c>
      <c r="C113" s="56"/>
      <c r="D113" s="56">
        <f>+$C$90*$E$77*D$24</f>
        <v>134.4</v>
      </c>
      <c r="E113" s="56">
        <f>+$C$90*$E$77*E$24</f>
        <v>57.6</v>
      </c>
      <c r="F113" s="56">
        <f>+$C$90*$E$77*F$24</f>
        <v>96</v>
      </c>
      <c r="G113" s="56">
        <f>+$C$90*$E$77*G$24</f>
        <v>192</v>
      </c>
      <c r="H113" s="57">
        <f t="shared" si="18"/>
        <v>480</v>
      </c>
      <c r="J113" s="17" t="s">
        <v>77</v>
      </c>
      <c r="K113" s="34" t="s">
        <v>56</v>
      </c>
      <c r="L113" s="56"/>
      <c r="M113" s="56">
        <f>+$C$91*$N$77*M$24</f>
        <v>28.8</v>
      </c>
      <c r="N113" s="56">
        <f>+$C$91*$N$77*N$24</f>
        <v>72</v>
      </c>
      <c r="O113" s="56">
        <f>+$C$91*$N$77*O$24</f>
        <v>72</v>
      </c>
      <c r="P113" s="56">
        <f>+$C$91*$N$77*P$24</f>
        <v>144</v>
      </c>
      <c r="Q113" s="57">
        <f>SUM(L113:P113)</f>
        <v>316.8</v>
      </c>
      <c r="R113" s="57">
        <f t="shared" si="19"/>
        <v>796.8</v>
      </c>
    </row>
    <row r="114" spans="1:18" ht="12.75" customHeight="1">
      <c r="A114" s="18" t="s">
        <v>83</v>
      </c>
      <c r="B114" s="34" t="s">
        <v>56</v>
      </c>
      <c r="C114" s="20">
        <f aca="true" t="shared" si="23" ref="C114:H114">SUM(C112:C113)</f>
        <v>0</v>
      </c>
      <c r="D114" s="20">
        <f t="shared" si="23"/>
        <v>134.4</v>
      </c>
      <c r="E114" s="20">
        <f t="shared" si="23"/>
        <v>57.6</v>
      </c>
      <c r="F114" s="20">
        <f t="shared" si="23"/>
        <v>96</v>
      </c>
      <c r="G114" s="20">
        <f t="shared" si="23"/>
        <v>192</v>
      </c>
      <c r="H114" s="20">
        <f t="shared" si="23"/>
        <v>480</v>
      </c>
      <c r="J114" s="18" t="s">
        <v>83</v>
      </c>
      <c r="K114" s="34" t="s">
        <v>56</v>
      </c>
      <c r="L114" s="20">
        <f aca="true" t="shared" si="24" ref="L114:Q114">SUM(L112:L113)</f>
        <v>0</v>
      </c>
      <c r="M114" s="20">
        <f t="shared" si="24"/>
        <v>28.8</v>
      </c>
      <c r="N114" s="20">
        <f t="shared" si="24"/>
        <v>72</v>
      </c>
      <c r="O114" s="20">
        <f t="shared" si="24"/>
        <v>72</v>
      </c>
      <c r="P114" s="20">
        <f t="shared" si="24"/>
        <v>144</v>
      </c>
      <c r="Q114" s="20">
        <f t="shared" si="24"/>
        <v>316.8</v>
      </c>
      <c r="R114" s="20">
        <f t="shared" si="19"/>
        <v>796.8</v>
      </c>
    </row>
    <row r="115" spans="1:18" ht="12.75" customHeight="1">
      <c r="A115" s="15" t="s">
        <v>17</v>
      </c>
      <c r="B115" s="34"/>
      <c r="C115" s="20"/>
      <c r="D115" s="20"/>
      <c r="E115" s="20"/>
      <c r="F115" s="20"/>
      <c r="G115" s="20"/>
      <c r="H115" s="20"/>
      <c r="J115" s="15" t="s">
        <v>17</v>
      </c>
      <c r="K115" s="34"/>
      <c r="L115" s="20"/>
      <c r="M115" s="20"/>
      <c r="N115" s="20"/>
      <c r="O115" s="20"/>
      <c r="P115" s="20"/>
      <c r="Q115" s="20"/>
      <c r="R115" s="57"/>
    </row>
    <row r="116" spans="1:18" ht="12.75" customHeight="1">
      <c r="A116" s="16" t="s">
        <v>76</v>
      </c>
      <c r="B116" s="34" t="s">
        <v>84</v>
      </c>
      <c r="C116" s="56">
        <f aca="true" t="shared" si="25" ref="C116:G117">+C96+C100+C104+C108+C112</f>
        <v>3744</v>
      </c>
      <c r="D116" s="56">
        <f t="shared" si="25"/>
        <v>26.88</v>
      </c>
      <c r="E116" s="56">
        <f t="shared" si="25"/>
        <v>817.92</v>
      </c>
      <c r="F116" s="56">
        <f t="shared" si="25"/>
        <v>1363.1999999999998</v>
      </c>
      <c r="G116" s="56">
        <f t="shared" si="25"/>
        <v>2726.3999999999996</v>
      </c>
      <c r="H116" s="57">
        <f t="shared" si="18"/>
        <v>8678.4</v>
      </c>
      <c r="J116" s="16" t="s">
        <v>76</v>
      </c>
      <c r="K116" s="34" t="s">
        <v>84</v>
      </c>
      <c r="L116" s="56">
        <f aca="true" t="shared" si="26" ref="L116:P117">+L96+L100+L104+L108+L112</f>
        <v>5696.64</v>
      </c>
      <c r="M116" s="56">
        <f t="shared" si="26"/>
        <v>5.76</v>
      </c>
      <c r="N116" s="56">
        <f t="shared" si="26"/>
        <v>1022.3999999999999</v>
      </c>
      <c r="O116" s="56">
        <f t="shared" si="26"/>
        <v>1022.3999999999999</v>
      </c>
      <c r="P116" s="56">
        <f t="shared" si="26"/>
        <v>2044.7999999999997</v>
      </c>
      <c r="Q116" s="57">
        <f>SUM(L116:P116)</f>
        <v>9792</v>
      </c>
      <c r="R116" s="57">
        <f t="shared" si="19"/>
        <v>18470.4</v>
      </c>
    </row>
    <row r="117" spans="1:18" ht="12.75" customHeight="1">
      <c r="A117" s="17" t="s">
        <v>77</v>
      </c>
      <c r="B117" s="34" t="s">
        <v>84</v>
      </c>
      <c r="C117" s="56">
        <f t="shared" si="25"/>
        <v>22464</v>
      </c>
      <c r="D117" s="56">
        <f t="shared" si="25"/>
        <v>833.28</v>
      </c>
      <c r="E117" s="56">
        <f t="shared" si="25"/>
        <v>1163.52</v>
      </c>
      <c r="F117" s="56">
        <f t="shared" si="25"/>
        <v>1939.1999999999998</v>
      </c>
      <c r="G117" s="56">
        <f t="shared" si="25"/>
        <v>3878.3999999999996</v>
      </c>
      <c r="H117" s="57">
        <f t="shared" si="18"/>
        <v>30278.4</v>
      </c>
      <c r="J117" s="17" t="s">
        <v>77</v>
      </c>
      <c r="K117" s="34" t="s">
        <v>84</v>
      </c>
      <c r="L117" s="56">
        <f t="shared" si="26"/>
        <v>34179.840000000004</v>
      </c>
      <c r="M117" s="56">
        <f t="shared" si="26"/>
        <v>178.56</v>
      </c>
      <c r="N117" s="56">
        <f t="shared" si="26"/>
        <v>1454.3999999999999</v>
      </c>
      <c r="O117" s="56">
        <f t="shared" si="26"/>
        <v>1454.3999999999999</v>
      </c>
      <c r="P117" s="56">
        <f t="shared" si="26"/>
        <v>2908.7999999999997</v>
      </c>
      <c r="Q117" s="57">
        <f>SUM(L117:P117)</f>
        <v>40176.00000000001</v>
      </c>
      <c r="R117" s="57">
        <f t="shared" si="19"/>
        <v>70454.40000000001</v>
      </c>
    </row>
    <row r="118" spans="1:18" ht="12.75" customHeight="1">
      <c r="A118" s="18" t="s">
        <v>85</v>
      </c>
      <c r="B118" s="34" t="s">
        <v>84</v>
      </c>
      <c r="C118" s="20">
        <f aca="true" t="shared" si="27" ref="C118:H118">SUM(C116:C117)</f>
        <v>26208</v>
      </c>
      <c r="D118" s="20">
        <f t="shared" si="27"/>
        <v>860.16</v>
      </c>
      <c r="E118" s="20">
        <f t="shared" si="27"/>
        <v>1981.44</v>
      </c>
      <c r="F118" s="20">
        <f t="shared" si="27"/>
        <v>3302.3999999999996</v>
      </c>
      <c r="G118" s="20">
        <f t="shared" si="27"/>
        <v>6604.799999999999</v>
      </c>
      <c r="H118" s="20">
        <f t="shared" si="27"/>
        <v>38956.8</v>
      </c>
      <c r="J118" s="18" t="s">
        <v>85</v>
      </c>
      <c r="K118" s="34" t="s">
        <v>84</v>
      </c>
      <c r="L118" s="20">
        <f aca="true" t="shared" si="28" ref="L118:Q118">SUM(L116:L117)</f>
        <v>39876.48</v>
      </c>
      <c r="M118" s="20">
        <f t="shared" si="28"/>
        <v>184.32</v>
      </c>
      <c r="N118" s="20">
        <f t="shared" si="28"/>
        <v>2476.7999999999997</v>
      </c>
      <c r="O118" s="20">
        <f t="shared" si="28"/>
        <v>2476.7999999999997</v>
      </c>
      <c r="P118" s="20">
        <f t="shared" si="28"/>
        <v>4953.599999999999</v>
      </c>
      <c r="Q118" s="20">
        <f t="shared" si="28"/>
        <v>49968.00000000001</v>
      </c>
      <c r="R118" s="20">
        <f t="shared" si="19"/>
        <v>88924.80000000002</v>
      </c>
    </row>
    <row r="119" spans="1:18" ht="12.75" customHeight="1">
      <c r="A119" s="2" t="s">
        <v>9</v>
      </c>
      <c r="B119" s="25" t="s">
        <v>4</v>
      </c>
      <c r="C119" s="63"/>
      <c r="D119" s="63"/>
      <c r="E119" s="63"/>
      <c r="F119" s="63"/>
      <c r="G119" s="63"/>
      <c r="H119" s="22">
        <f>0.1233*H118</f>
        <v>4803.37344</v>
      </c>
      <c r="J119" s="15" t="s">
        <v>9</v>
      </c>
      <c r="K119" s="16" t="s">
        <v>4</v>
      </c>
      <c r="L119" s="85">
        <f>0.1233*L118</f>
        <v>4916.7699840000005</v>
      </c>
      <c r="M119" s="85">
        <f aca="true" t="shared" si="29" ref="M119:R119">0.1233*M118</f>
        <v>22.726656000000002</v>
      </c>
      <c r="N119" s="85">
        <f t="shared" si="29"/>
        <v>305.38944</v>
      </c>
      <c r="O119" s="85">
        <f t="shared" si="29"/>
        <v>305.38944</v>
      </c>
      <c r="P119" s="85">
        <f t="shared" si="29"/>
        <v>610.77888</v>
      </c>
      <c r="Q119" s="85">
        <f t="shared" si="29"/>
        <v>6161.054400000001</v>
      </c>
      <c r="R119" s="63">
        <f t="shared" si="29"/>
        <v>10964.427840000002</v>
      </c>
    </row>
    <row r="120" spans="1:18" ht="12.75" customHeight="1">
      <c r="A120" s="23" t="s">
        <v>113</v>
      </c>
      <c r="B120" s="119">
        <f>+'PMC 01'!B120</f>
        <v>0.2</v>
      </c>
      <c r="C120" s="60" t="s">
        <v>86</v>
      </c>
      <c r="D120" s="60"/>
      <c r="E120" s="34"/>
      <c r="F120" s="34"/>
      <c r="G120" s="34"/>
      <c r="H120" s="34"/>
      <c r="J120" s="15" t="s">
        <v>113</v>
      </c>
      <c r="K120" s="98">
        <v>0.2</v>
      </c>
      <c r="L120" s="34" t="s">
        <v>86</v>
      </c>
      <c r="M120" s="34"/>
      <c r="N120" s="34"/>
      <c r="O120" s="34"/>
      <c r="P120" s="34"/>
      <c r="Q120" s="34"/>
      <c r="R120" s="57"/>
    </row>
    <row r="121" spans="1:18" ht="12.75" customHeight="1">
      <c r="A121" s="16" t="s">
        <v>76</v>
      </c>
      <c r="B121" s="61" t="s">
        <v>4</v>
      </c>
      <c r="C121" s="62">
        <f>+$C$90*$C$77*C61*$B120</f>
        <v>0</v>
      </c>
      <c r="D121" s="63">
        <f>+$C$90*$C$77*D61*$B120</f>
        <v>0</v>
      </c>
      <c r="E121" s="63">
        <f>+$C$90*$C$77*E61*$B120</f>
        <v>0</v>
      </c>
      <c r="F121" s="63">
        <f>+$C$90*$C$77*F61*$B120</f>
        <v>0</v>
      </c>
      <c r="G121" s="63">
        <f>+$C$90*$C$77*G61*$B120</f>
        <v>0</v>
      </c>
      <c r="H121" s="57">
        <f aca="true" t="shared" si="30" ref="H121:H134">SUM(C121:G121)</f>
        <v>0</v>
      </c>
      <c r="J121" s="16" t="s">
        <v>76</v>
      </c>
      <c r="K121" s="34" t="s">
        <v>4</v>
      </c>
      <c r="L121" s="63">
        <f>+$C$91*$L$77*L61*$B120</f>
        <v>0</v>
      </c>
      <c r="M121" s="63">
        <f>+$C$91*$L$77*M61*$B120</f>
        <v>0</v>
      </c>
      <c r="N121" s="63">
        <f>+$C$91*$L$77*N61*$B120</f>
        <v>0</v>
      </c>
      <c r="O121" s="63">
        <f>+$C$91*$L$77*O61*$B120</f>
        <v>0</v>
      </c>
      <c r="P121" s="63">
        <f>+$C$91*$L$77*P61*$B120</f>
        <v>0</v>
      </c>
      <c r="Q121" s="57">
        <f>SUM(L121:P121)</f>
        <v>0</v>
      </c>
      <c r="R121" s="57">
        <f t="shared" si="19"/>
        <v>0</v>
      </c>
    </row>
    <row r="122" spans="1:18" ht="12.75" customHeight="1">
      <c r="A122" s="17" t="s">
        <v>77</v>
      </c>
      <c r="B122" s="34" t="s">
        <v>4</v>
      </c>
      <c r="C122" s="63">
        <f>+$C$90*$E$77*C61*$B120</f>
        <v>3786.796490578512</v>
      </c>
      <c r="D122" s="63">
        <f>+$C$90*$E$77*D61*$B120</f>
        <v>19.803839999999997</v>
      </c>
      <c r="E122" s="63">
        <f>+$C$90*$E$77*E61*$B120</f>
        <v>5.566611570247935</v>
      </c>
      <c r="F122" s="63">
        <f>+$C$90*$E$77*F61*$B120</f>
        <v>9.277685950413225</v>
      </c>
      <c r="G122" s="63">
        <f>+$C$90*$E$77*G61*$B120</f>
        <v>18.55537190082645</v>
      </c>
      <c r="H122" s="57">
        <f t="shared" si="30"/>
        <v>3839.9999999999995</v>
      </c>
      <c r="J122" s="17" t="s">
        <v>77</v>
      </c>
      <c r="K122" s="34" t="s">
        <v>4</v>
      </c>
      <c r="L122" s="63">
        <f>+$C$91*$N$77*L61*$B120</f>
        <v>5727.923262148761</v>
      </c>
      <c r="M122" s="63">
        <f>+$C$91*$N$77*M61*$B120</f>
        <v>4.2436799999999995</v>
      </c>
      <c r="N122" s="63">
        <f>+$C$91*$N$77*N61*$B120</f>
        <v>6.958264462809919</v>
      </c>
      <c r="O122" s="63">
        <f>+$C$91*$N$77*O61*$B120</f>
        <v>6.958264462809919</v>
      </c>
      <c r="P122" s="63">
        <f>+$C$91*$N$77*P61*$B120</f>
        <v>13.916528925619838</v>
      </c>
      <c r="Q122" s="57">
        <f>SUM(L122:P122)</f>
        <v>5760</v>
      </c>
      <c r="R122" s="57">
        <f t="shared" si="19"/>
        <v>9600</v>
      </c>
    </row>
    <row r="123" spans="1:18" ht="12.75" customHeight="1">
      <c r="A123" s="18" t="s">
        <v>87</v>
      </c>
      <c r="B123" s="34" t="s">
        <v>4</v>
      </c>
      <c r="C123" s="20">
        <f aca="true" t="shared" si="31" ref="C123:H123">SUM(C121:C122)</f>
        <v>3786.796490578512</v>
      </c>
      <c r="D123" s="20">
        <f t="shared" si="31"/>
        <v>19.803839999999997</v>
      </c>
      <c r="E123" s="20">
        <f t="shared" si="31"/>
        <v>5.566611570247935</v>
      </c>
      <c r="F123" s="20">
        <f t="shared" si="31"/>
        <v>9.277685950413225</v>
      </c>
      <c r="G123" s="20">
        <f t="shared" si="31"/>
        <v>18.55537190082645</v>
      </c>
      <c r="H123" s="20">
        <f t="shared" si="31"/>
        <v>3839.9999999999995</v>
      </c>
      <c r="J123" s="18" t="s">
        <v>87</v>
      </c>
      <c r="K123" s="34" t="s">
        <v>4</v>
      </c>
      <c r="L123" s="20">
        <f aca="true" t="shared" si="32" ref="L123:Q123">SUM(L121:L122)</f>
        <v>5727.923262148761</v>
      </c>
      <c r="M123" s="20">
        <f t="shared" si="32"/>
        <v>4.2436799999999995</v>
      </c>
      <c r="N123" s="20">
        <f t="shared" si="32"/>
        <v>6.958264462809919</v>
      </c>
      <c r="O123" s="20">
        <f t="shared" si="32"/>
        <v>6.958264462809919</v>
      </c>
      <c r="P123" s="20">
        <f t="shared" si="32"/>
        <v>13.916528925619838</v>
      </c>
      <c r="Q123" s="20">
        <f t="shared" si="32"/>
        <v>5760</v>
      </c>
      <c r="R123" s="20">
        <f t="shared" si="19"/>
        <v>9600</v>
      </c>
    </row>
    <row r="124" spans="1:18" ht="12.75" customHeight="1">
      <c r="A124" s="21" t="s">
        <v>146</v>
      </c>
      <c r="B124" s="34"/>
      <c r="C124" s="20"/>
      <c r="D124" s="20"/>
      <c r="E124" s="20"/>
      <c r="F124" s="20"/>
      <c r="G124" s="20"/>
      <c r="H124" s="20"/>
      <c r="J124" s="21" t="s">
        <v>146</v>
      </c>
      <c r="K124" s="34"/>
      <c r="L124" s="20"/>
      <c r="M124" s="20"/>
      <c r="N124" s="20"/>
      <c r="O124" s="20"/>
      <c r="P124" s="20"/>
      <c r="Q124" s="20"/>
      <c r="R124" s="57"/>
    </row>
    <row r="125" spans="1:18" ht="12.75" customHeight="1">
      <c r="A125" s="16" t="s">
        <v>76</v>
      </c>
      <c r="B125" s="34" t="s">
        <v>4</v>
      </c>
      <c r="C125" s="58"/>
      <c r="D125" s="58">
        <f>+$B$120*$C$90*$C78*D33</f>
        <v>0</v>
      </c>
      <c r="E125" s="58">
        <f>+$B$120*$C$90*$C78*E33</f>
        <v>0</v>
      </c>
      <c r="F125" s="58">
        <f>+$B$120*$C$90*$C78*F33</f>
        <v>0</v>
      </c>
      <c r="G125" s="58">
        <f>+$B$120*$C$90*$C78*G33</f>
        <v>0</v>
      </c>
      <c r="H125" s="57">
        <f t="shared" si="30"/>
        <v>0</v>
      </c>
      <c r="J125" s="16" t="s">
        <v>76</v>
      </c>
      <c r="K125" s="34" t="s">
        <v>4</v>
      </c>
      <c r="L125" s="58"/>
      <c r="M125" s="58">
        <f>+$B$120*$C$91*$L78*M33</f>
        <v>0</v>
      </c>
      <c r="N125" s="58">
        <f>+$B$120*$C$91*$L78*N33</f>
        <v>0</v>
      </c>
      <c r="O125" s="58">
        <f>+$B$120*$C$91*$L78*O33</f>
        <v>0</v>
      </c>
      <c r="P125" s="58">
        <f>+$B$120*$C$91*$L78*P33</f>
        <v>0</v>
      </c>
      <c r="Q125" s="57">
        <f>SUM(L125:P125)</f>
        <v>0</v>
      </c>
      <c r="R125" s="57">
        <f t="shared" si="19"/>
        <v>0</v>
      </c>
    </row>
    <row r="126" spans="1:18" ht="12.75" customHeight="1">
      <c r="A126" s="17" t="s">
        <v>77</v>
      </c>
      <c r="B126" s="34" t="s">
        <v>4</v>
      </c>
      <c r="C126" s="58"/>
      <c r="D126" s="58">
        <f>+$B$120*$C$90*$E78*D33</f>
        <v>91.06943999999999</v>
      </c>
      <c r="E126" s="58">
        <f>+$B$120*$C$90*$E78*E33</f>
        <v>31.104</v>
      </c>
      <c r="F126" s="58">
        <f>+$B$120*$C$90*$E78*F33</f>
        <v>51.839999999999996</v>
      </c>
      <c r="G126" s="58">
        <f>+$B$120*$C$90*$E78*G33</f>
        <v>103.67999999999999</v>
      </c>
      <c r="H126" s="57">
        <f t="shared" si="30"/>
        <v>277.69343999999995</v>
      </c>
      <c r="J126" s="17" t="s">
        <v>77</v>
      </c>
      <c r="K126" s="34" t="s">
        <v>4</v>
      </c>
      <c r="L126" s="58"/>
      <c r="M126" s="58">
        <f>+$B$120*$C$91*$N78*M33</f>
        <v>19.514879999999998</v>
      </c>
      <c r="N126" s="58">
        <f>+$B$120*$C$91*$N78*N33</f>
        <v>38.88</v>
      </c>
      <c r="O126" s="58">
        <f>+$B$120*$C$91*$N78*O33</f>
        <v>38.88</v>
      </c>
      <c r="P126" s="58">
        <f>+$B$120*$C$91*$N78*P33</f>
        <v>77.76</v>
      </c>
      <c r="Q126" s="57">
        <f>SUM(L126:P126)</f>
        <v>175.03488</v>
      </c>
      <c r="R126" s="57">
        <f t="shared" si="19"/>
        <v>452.72831999999994</v>
      </c>
    </row>
    <row r="127" spans="1:18" ht="12.75" customHeight="1">
      <c r="A127" s="18" t="s">
        <v>88</v>
      </c>
      <c r="B127" s="34" t="s">
        <v>4</v>
      </c>
      <c r="C127" s="20">
        <f aca="true" t="shared" si="33" ref="C127:H127">SUM(C125:C126)</f>
        <v>0</v>
      </c>
      <c r="D127" s="20">
        <f t="shared" si="33"/>
        <v>91.06943999999999</v>
      </c>
      <c r="E127" s="20">
        <f t="shared" si="33"/>
        <v>31.104</v>
      </c>
      <c r="F127" s="20">
        <f t="shared" si="33"/>
        <v>51.839999999999996</v>
      </c>
      <c r="G127" s="20">
        <f t="shared" si="33"/>
        <v>103.67999999999999</v>
      </c>
      <c r="H127" s="20">
        <f t="shared" si="33"/>
        <v>277.69343999999995</v>
      </c>
      <c r="J127" s="18" t="s">
        <v>88</v>
      </c>
      <c r="K127" s="34" t="s">
        <v>4</v>
      </c>
      <c r="L127" s="20">
        <f aca="true" t="shared" si="34" ref="L127:Q127">SUM(L125:L126)</f>
        <v>0</v>
      </c>
      <c r="M127" s="20">
        <f t="shared" si="34"/>
        <v>19.514879999999998</v>
      </c>
      <c r="N127" s="20">
        <f t="shared" si="34"/>
        <v>38.88</v>
      </c>
      <c r="O127" s="20">
        <f t="shared" si="34"/>
        <v>38.88</v>
      </c>
      <c r="P127" s="20">
        <f t="shared" si="34"/>
        <v>77.76</v>
      </c>
      <c r="Q127" s="20">
        <f t="shared" si="34"/>
        <v>175.03488</v>
      </c>
      <c r="R127" s="20">
        <f t="shared" si="19"/>
        <v>452.72831999999994</v>
      </c>
    </row>
    <row r="128" spans="1:18" ht="12.75" customHeight="1">
      <c r="A128" s="15" t="s">
        <v>152</v>
      </c>
      <c r="B128" s="34"/>
      <c r="C128" s="20"/>
      <c r="D128" s="20"/>
      <c r="E128" s="20"/>
      <c r="F128" s="20"/>
      <c r="G128" s="20"/>
      <c r="H128" s="20"/>
      <c r="J128" s="15" t="s">
        <v>152</v>
      </c>
      <c r="K128" s="34"/>
      <c r="L128" s="20"/>
      <c r="M128" s="20"/>
      <c r="N128" s="20"/>
      <c r="O128" s="20"/>
      <c r="P128" s="20"/>
      <c r="Q128" s="20"/>
      <c r="R128" s="57"/>
    </row>
    <row r="129" spans="1:18" ht="12.75" customHeight="1">
      <c r="A129" s="16" t="s">
        <v>76</v>
      </c>
      <c r="B129" s="34" t="s">
        <v>4</v>
      </c>
      <c r="C129" s="63"/>
      <c r="D129" s="63"/>
      <c r="E129" s="63">
        <f>+$C$90*$C$79*E$36*$B$120</f>
        <v>128.5289256198347</v>
      </c>
      <c r="F129" s="63">
        <f>+$C$90*$C$79*F$36*$B$120</f>
        <v>214.21487603305786</v>
      </c>
      <c r="G129" s="63">
        <f>+$C$90*$C$79*G$36*$B$120</f>
        <v>428.4297520661157</v>
      </c>
      <c r="H129" s="57">
        <f t="shared" si="30"/>
        <v>771.1735537190083</v>
      </c>
      <c r="J129" s="16" t="s">
        <v>76</v>
      </c>
      <c r="K129" s="34" t="s">
        <v>4</v>
      </c>
      <c r="L129" s="63"/>
      <c r="M129" s="63"/>
      <c r="N129" s="63">
        <f>+$C$91*$L$79*N$36*$B$120</f>
        <v>160.6611570247934</v>
      </c>
      <c r="O129" s="63">
        <f>+$C$91*$L$79*O$36*$B$120</f>
        <v>160.6611570247934</v>
      </c>
      <c r="P129" s="63">
        <f>+$C$91*$L$79*P$36*$B$120</f>
        <v>321.3223140495868</v>
      </c>
      <c r="Q129" s="57">
        <f>SUM(L129:P129)</f>
        <v>642.6446280991736</v>
      </c>
      <c r="R129" s="57">
        <f t="shared" si="19"/>
        <v>1413.818181818182</v>
      </c>
    </row>
    <row r="130" spans="1:18" ht="12.75" customHeight="1">
      <c r="A130" s="17" t="s">
        <v>77</v>
      </c>
      <c r="B130" s="34" t="s">
        <v>4</v>
      </c>
      <c r="C130" s="63"/>
      <c r="D130" s="63"/>
      <c r="E130" s="63">
        <f>+$C$90*$E$79*E$36*$B$120</f>
        <v>128.5289256198347</v>
      </c>
      <c r="F130" s="63">
        <f>+$C$90*$E$79*F$36*$B$120</f>
        <v>214.21487603305786</v>
      </c>
      <c r="G130" s="63">
        <f>+$C$90*$E$79*G$36*$B$120</f>
        <v>428.4297520661157</v>
      </c>
      <c r="H130" s="57">
        <f t="shared" si="30"/>
        <v>771.1735537190083</v>
      </c>
      <c r="J130" s="17" t="s">
        <v>77</v>
      </c>
      <c r="K130" s="34" t="s">
        <v>4</v>
      </c>
      <c r="L130" s="63"/>
      <c r="M130" s="63"/>
      <c r="N130" s="63">
        <f>+$C$91*$N$79*N$36*$B$120</f>
        <v>160.6611570247934</v>
      </c>
      <c r="O130" s="63">
        <f>+$C$91*$N$79*O$36*$B$120</f>
        <v>160.6611570247934</v>
      </c>
      <c r="P130" s="63">
        <f>+$C$91*$N$79*P$36*$B$120</f>
        <v>321.3223140495868</v>
      </c>
      <c r="Q130" s="57">
        <f>SUM(L130:P130)</f>
        <v>642.6446280991736</v>
      </c>
      <c r="R130" s="57">
        <f t="shared" si="19"/>
        <v>1413.818181818182</v>
      </c>
    </row>
    <row r="131" spans="1:18" ht="12.75" customHeight="1">
      <c r="A131" s="18" t="s">
        <v>89</v>
      </c>
      <c r="B131" s="34" t="s">
        <v>4</v>
      </c>
      <c r="C131" s="20">
        <f aca="true" t="shared" si="35" ref="C131:H131">SUM(C129:C130)</f>
        <v>0</v>
      </c>
      <c r="D131" s="20">
        <f t="shared" si="35"/>
        <v>0</v>
      </c>
      <c r="E131" s="20">
        <f t="shared" si="35"/>
        <v>257.0578512396694</v>
      </c>
      <c r="F131" s="20">
        <f t="shared" si="35"/>
        <v>428.4297520661157</v>
      </c>
      <c r="G131" s="20">
        <f t="shared" si="35"/>
        <v>856.8595041322315</v>
      </c>
      <c r="H131" s="20">
        <f t="shared" si="35"/>
        <v>1542.3471074380166</v>
      </c>
      <c r="J131" s="18" t="s">
        <v>89</v>
      </c>
      <c r="K131" s="34" t="s">
        <v>4</v>
      </c>
      <c r="L131" s="20">
        <f aca="true" t="shared" si="36" ref="L131:Q131">SUM(L129:L130)</f>
        <v>0</v>
      </c>
      <c r="M131" s="20">
        <f t="shared" si="36"/>
        <v>0</v>
      </c>
      <c r="N131" s="20">
        <f t="shared" si="36"/>
        <v>321.3223140495868</v>
      </c>
      <c r="O131" s="20">
        <f t="shared" si="36"/>
        <v>321.3223140495868</v>
      </c>
      <c r="P131" s="20">
        <f t="shared" si="36"/>
        <v>642.6446280991736</v>
      </c>
      <c r="Q131" s="20">
        <f t="shared" si="36"/>
        <v>1285.2892561983472</v>
      </c>
      <c r="R131" s="20">
        <f t="shared" si="19"/>
        <v>2827.636363636364</v>
      </c>
    </row>
    <row r="132" spans="1:18" ht="12.75" customHeight="1">
      <c r="A132" s="17" t="s">
        <v>19</v>
      </c>
      <c r="B132" s="34"/>
      <c r="C132" s="20"/>
      <c r="D132" s="20"/>
      <c r="E132" s="20"/>
      <c r="F132" s="20"/>
      <c r="G132" s="20"/>
      <c r="H132" s="20"/>
      <c r="J132" s="17" t="s">
        <v>19</v>
      </c>
      <c r="K132" s="34"/>
      <c r="L132" s="20"/>
      <c r="M132" s="20"/>
      <c r="N132" s="20"/>
      <c r="O132" s="20"/>
      <c r="P132" s="20"/>
      <c r="Q132" s="20"/>
      <c r="R132" s="57"/>
    </row>
    <row r="133" spans="1:18" ht="12.75" customHeight="1">
      <c r="A133" s="16" t="s">
        <v>76</v>
      </c>
      <c r="B133" s="34" t="s">
        <v>4</v>
      </c>
      <c r="C133" s="63"/>
      <c r="D133" s="63">
        <f>+$B$120*$C$90*$C$77*D$33</f>
        <v>0</v>
      </c>
      <c r="E133" s="63">
        <f>+$B$120*$C$90*$C$77*E$33</f>
        <v>0</v>
      </c>
      <c r="F133" s="63">
        <f>+$B$120*$C$90*$C$77*F$33</f>
        <v>0</v>
      </c>
      <c r="G133" s="63">
        <f>+$B$120*$C$90*$C$77*G$33</f>
        <v>0</v>
      </c>
      <c r="H133" s="57">
        <f t="shared" si="30"/>
        <v>0</v>
      </c>
      <c r="J133" s="16" t="s">
        <v>76</v>
      </c>
      <c r="K133" s="34" t="s">
        <v>4</v>
      </c>
      <c r="L133" s="63"/>
      <c r="M133" s="63">
        <f>+$B$120*$C$91*$L$77*M$33</f>
        <v>0</v>
      </c>
      <c r="N133" s="63">
        <f>+$B$120*$C$91*$L$77*N$33</f>
        <v>0</v>
      </c>
      <c r="O133" s="63">
        <f>+$B$120*$C$91*$L$77*O$33</f>
        <v>0</v>
      </c>
      <c r="P133" s="63">
        <f>+$B$120*$C$91*$L$77*P$33</f>
        <v>0</v>
      </c>
      <c r="Q133" s="57">
        <f>SUM(L133:P133)</f>
        <v>0</v>
      </c>
      <c r="R133" s="57">
        <f t="shared" si="19"/>
        <v>0</v>
      </c>
    </row>
    <row r="134" spans="1:18" ht="12.75" customHeight="1">
      <c r="A134" s="17" t="s">
        <v>77</v>
      </c>
      <c r="B134" s="34" t="s">
        <v>4</v>
      </c>
      <c r="C134" s="63"/>
      <c r="D134" s="63">
        <f>+$B$120*$C$90*$E$77*D$33</f>
        <v>22.767359999999996</v>
      </c>
      <c r="E134" s="63">
        <f>+$B$120*$C$90*$E$77*E$33</f>
        <v>7.776</v>
      </c>
      <c r="F134" s="63">
        <f>+$B$120*$C$90*$E$77*F$33</f>
        <v>12.959999999999999</v>
      </c>
      <c r="G134" s="63">
        <f>+$B$120*$C$90*$E$77*G$33</f>
        <v>25.919999999999998</v>
      </c>
      <c r="H134" s="57">
        <f t="shared" si="30"/>
        <v>69.42335999999999</v>
      </c>
      <c r="J134" s="17" t="s">
        <v>77</v>
      </c>
      <c r="K134" s="34" t="s">
        <v>4</v>
      </c>
      <c r="L134" s="63"/>
      <c r="M134" s="63">
        <f>+$B$120*$C$91*$N$77*M$33</f>
        <v>4.8787199999999995</v>
      </c>
      <c r="N134" s="63">
        <f>+$B$120*$C$91*$N$77*N$33</f>
        <v>9.72</v>
      </c>
      <c r="O134" s="63">
        <f>+$B$120*$C$91*$N$77*O$33</f>
        <v>9.72</v>
      </c>
      <c r="P134" s="63">
        <f>+$B$120*$C$91*$N$77*P$33</f>
        <v>19.44</v>
      </c>
      <c r="Q134" s="57">
        <f>SUM(L134:P134)</f>
        <v>43.75872</v>
      </c>
      <c r="R134" s="57">
        <f t="shared" si="19"/>
        <v>113.18207999999998</v>
      </c>
    </row>
    <row r="135" spans="1:18" ht="12.75" customHeight="1">
      <c r="A135" s="18" t="s">
        <v>90</v>
      </c>
      <c r="B135" s="34" t="s">
        <v>4</v>
      </c>
      <c r="C135" s="22">
        <f aca="true" t="shared" si="37" ref="C135:H135">SUM(C133:C134)</f>
        <v>0</v>
      </c>
      <c r="D135" s="22">
        <f t="shared" si="37"/>
        <v>22.767359999999996</v>
      </c>
      <c r="E135" s="22">
        <f t="shared" si="37"/>
        <v>7.776</v>
      </c>
      <c r="F135" s="22">
        <f t="shared" si="37"/>
        <v>12.959999999999999</v>
      </c>
      <c r="G135" s="22">
        <f t="shared" si="37"/>
        <v>25.919999999999998</v>
      </c>
      <c r="H135" s="20">
        <f t="shared" si="37"/>
        <v>69.42335999999999</v>
      </c>
      <c r="J135" s="18" t="s">
        <v>90</v>
      </c>
      <c r="K135" s="34" t="s">
        <v>4</v>
      </c>
      <c r="L135" s="22">
        <f aca="true" t="shared" si="38" ref="L135:Q135">SUM(L133:L134)</f>
        <v>0</v>
      </c>
      <c r="M135" s="22">
        <f t="shared" si="38"/>
        <v>4.8787199999999995</v>
      </c>
      <c r="N135" s="22">
        <f t="shared" si="38"/>
        <v>9.72</v>
      </c>
      <c r="O135" s="22">
        <f t="shared" si="38"/>
        <v>9.72</v>
      </c>
      <c r="P135" s="22">
        <f t="shared" si="38"/>
        <v>19.44</v>
      </c>
      <c r="Q135" s="20">
        <f t="shared" si="38"/>
        <v>43.75872</v>
      </c>
      <c r="R135" s="20">
        <f t="shared" si="19"/>
        <v>113.18207999999998</v>
      </c>
    </row>
    <row r="136" spans="1:18" ht="12.75" customHeight="1">
      <c r="A136" s="15" t="s">
        <v>20</v>
      </c>
      <c r="B136" s="34"/>
      <c r="C136" s="22"/>
      <c r="D136" s="22"/>
      <c r="E136" s="22"/>
      <c r="F136" s="22"/>
      <c r="G136" s="22"/>
      <c r="H136" s="20"/>
      <c r="J136" s="15" t="s">
        <v>20</v>
      </c>
      <c r="K136" s="34"/>
      <c r="L136" s="22"/>
      <c r="M136" s="22"/>
      <c r="N136" s="22"/>
      <c r="O136" s="22"/>
      <c r="P136" s="22"/>
      <c r="Q136" s="20"/>
      <c r="R136" s="57"/>
    </row>
    <row r="137" spans="1:18" ht="12.75" customHeight="1">
      <c r="A137" s="16" t="s">
        <v>76</v>
      </c>
      <c r="B137" s="34" t="s">
        <v>4</v>
      </c>
      <c r="C137" s="22">
        <f aca="true" t="shared" si="39" ref="C137:H139">+C121+C125+C129+C133</f>
        <v>0</v>
      </c>
      <c r="D137" s="22">
        <f t="shared" si="39"/>
        <v>0</v>
      </c>
      <c r="E137" s="22">
        <f t="shared" si="39"/>
        <v>128.5289256198347</v>
      </c>
      <c r="F137" s="22">
        <f t="shared" si="39"/>
        <v>214.21487603305786</v>
      </c>
      <c r="G137" s="22">
        <f t="shared" si="39"/>
        <v>428.4297520661157</v>
      </c>
      <c r="H137" s="22">
        <f t="shared" si="39"/>
        <v>771.1735537190083</v>
      </c>
      <c r="J137" s="16" t="s">
        <v>76</v>
      </c>
      <c r="K137" s="34" t="s">
        <v>4</v>
      </c>
      <c r="L137" s="22">
        <f aca="true" t="shared" si="40" ref="L137:Q139">+L121+L125+L129+L133</f>
        <v>0</v>
      </c>
      <c r="M137" s="22">
        <f t="shared" si="40"/>
        <v>0</v>
      </c>
      <c r="N137" s="22">
        <f t="shared" si="40"/>
        <v>160.6611570247934</v>
      </c>
      <c r="O137" s="22">
        <f t="shared" si="40"/>
        <v>160.6611570247934</v>
      </c>
      <c r="P137" s="22">
        <f t="shared" si="40"/>
        <v>321.3223140495868</v>
      </c>
      <c r="Q137" s="22">
        <f t="shared" si="40"/>
        <v>642.6446280991736</v>
      </c>
      <c r="R137" s="57">
        <f t="shared" si="19"/>
        <v>1413.818181818182</v>
      </c>
    </row>
    <row r="138" spans="1:18" ht="12.75" customHeight="1">
      <c r="A138" s="17" t="s">
        <v>77</v>
      </c>
      <c r="B138" s="34" t="s">
        <v>4</v>
      </c>
      <c r="C138" s="22">
        <f t="shared" si="39"/>
        <v>3786.796490578512</v>
      </c>
      <c r="D138" s="22">
        <f t="shared" si="39"/>
        <v>133.64063999999996</v>
      </c>
      <c r="E138" s="22">
        <f t="shared" si="39"/>
        <v>172.97553719008263</v>
      </c>
      <c r="F138" s="22">
        <f t="shared" si="39"/>
        <v>288.29256198347105</v>
      </c>
      <c r="G138" s="22">
        <f t="shared" si="39"/>
        <v>576.5851239669421</v>
      </c>
      <c r="H138" s="22">
        <f t="shared" si="39"/>
        <v>4958.290353719007</v>
      </c>
      <c r="J138" s="17" t="s">
        <v>77</v>
      </c>
      <c r="K138" s="34" t="s">
        <v>4</v>
      </c>
      <c r="L138" s="22">
        <f t="shared" si="40"/>
        <v>5727.923262148761</v>
      </c>
      <c r="M138" s="22">
        <f t="shared" si="40"/>
        <v>28.637279999999997</v>
      </c>
      <c r="N138" s="22">
        <f t="shared" si="40"/>
        <v>216.2194214876033</v>
      </c>
      <c r="O138" s="22">
        <f t="shared" si="40"/>
        <v>216.2194214876033</v>
      </c>
      <c r="P138" s="22">
        <f t="shared" si="40"/>
        <v>432.4388429752066</v>
      </c>
      <c r="Q138" s="22">
        <f t="shared" si="40"/>
        <v>6621.438228099174</v>
      </c>
      <c r="R138" s="57">
        <f t="shared" si="19"/>
        <v>11579.72858181818</v>
      </c>
    </row>
    <row r="139" spans="1:18" ht="12.75" customHeight="1">
      <c r="A139" s="18" t="s">
        <v>90</v>
      </c>
      <c r="B139" s="34" t="s">
        <v>4</v>
      </c>
      <c r="C139" s="22">
        <f t="shared" si="39"/>
        <v>3786.796490578512</v>
      </c>
      <c r="D139" s="22">
        <f t="shared" si="39"/>
        <v>133.64063999999996</v>
      </c>
      <c r="E139" s="22">
        <f t="shared" si="39"/>
        <v>301.50446280991736</v>
      </c>
      <c r="F139" s="22">
        <f t="shared" si="39"/>
        <v>502.5074380165289</v>
      </c>
      <c r="G139" s="22">
        <f t="shared" si="39"/>
        <v>1005.0148760330578</v>
      </c>
      <c r="H139" s="22">
        <f t="shared" si="39"/>
        <v>5729.463907438016</v>
      </c>
      <c r="J139" s="18" t="s">
        <v>90</v>
      </c>
      <c r="K139" s="34" t="s">
        <v>4</v>
      </c>
      <c r="L139" s="22">
        <f t="shared" si="40"/>
        <v>5727.923262148761</v>
      </c>
      <c r="M139" s="22">
        <f t="shared" si="40"/>
        <v>28.637279999999997</v>
      </c>
      <c r="N139" s="22">
        <f t="shared" si="40"/>
        <v>376.88057851239677</v>
      </c>
      <c r="O139" s="22">
        <f t="shared" si="40"/>
        <v>376.88057851239677</v>
      </c>
      <c r="P139" s="22">
        <f t="shared" si="40"/>
        <v>753.7611570247935</v>
      </c>
      <c r="Q139" s="22">
        <f t="shared" si="40"/>
        <v>7264.082856198347</v>
      </c>
      <c r="R139" s="20">
        <f t="shared" si="19"/>
        <v>12993.546763636363</v>
      </c>
    </row>
    <row r="140" spans="1:18" ht="12.75" customHeight="1">
      <c r="A140" s="14" t="s">
        <v>114</v>
      </c>
      <c r="B140" s="12" t="s">
        <v>4</v>
      </c>
      <c r="C140" s="22"/>
      <c r="D140" s="22"/>
      <c r="E140" s="22"/>
      <c r="F140" s="22"/>
      <c r="G140" s="22"/>
      <c r="H140" s="22">
        <f>+H139+H119</f>
        <v>10532.837347438017</v>
      </c>
      <c r="J140" s="14" t="s">
        <v>114</v>
      </c>
      <c r="K140" s="34" t="s">
        <v>4</v>
      </c>
      <c r="L140" s="22"/>
      <c r="M140" s="22"/>
      <c r="N140" s="22"/>
      <c r="O140" s="22"/>
      <c r="P140" s="22"/>
      <c r="Q140" s="22">
        <f>+Q139+Q119</f>
        <v>13425.137256198348</v>
      </c>
      <c r="R140" s="20">
        <f t="shared" si="19"/>
        <v>23957.974603636365</v>
      </c>
    </row>
    <row r="141" spans="1:18" ht="12.75" customHeight="1">
      <c r="A141" s="15" t="s">
        <v>115</v>
      </c>
      <c r="B141" s="12" t="s">
        <v>4</v>
      </c>
      <c r="C141" s="87"/>
      <c r="D141" s="88"/>
      <c r="E141" s="88"/>
      <c r="F141" s="22"/>
      <c r="G141" s="87"/>
      <c r="H141" s="22">
        <f>+C149*B85</f>
        <v>20924.419450043235</v>
      </c>
      <c r="J141" s="15" t="s">
        <v>115</v>
      </c>
      <c r="K141" s="34"/>
      <c r="L141" s="63"/>
      <c r="M141" s="99"/>
      <c r="N141" s="99"/>
      <c r="O141" s="63"/>
      <c r="P141" s="58"/>
      <c r="Q141" s="22">
        <f>+D149*B85</f>
        <v>12433.184322585465</v>
      </c>
      <c r="R141" s="22">
        <f>+Q141+H141</f>
        <v>33357.6037726287</v>
      </c>
    </row>
    <row r="142" spans="1:18" ht="12.75" customHeight="1">
      <c r="A142" s="89"/>
      <c r="B142" s="90"/>
      <c r="C142" s="90"/>
      <c r="D142" s="90"/>
      <c r="E142" s="90"/>
      <c r="F142" s="90"/>
      <c r="G142" s="90"/>
      <c r="H142" s="90"/>
      <c r="J142" s="89"/>
      <c r="K142" s="38"/>
      <c r="L142" s="59"/>
      <c r="M142" s="38"/>
      <c r="N142" s="38"/>
      <c r="O142" s="59"/>
      <c r="Q142" s="59"/>
      <c r="R142" s="59"/>
    </row>
    <row r="143" spans="1:8" ht="29.25" customHeight="1">
      <c r="A143" s="17"/>
      <c r="B143" s="34"/>
      <c r="C143" s="92" t="s">
        <v>117</v>
      </c>
      <c r="D143" s="92" t="s">
        <v>118</v>
      </c>
      <c r="E143" s="15" t="s">
        <v>116</v>
      </c>
      <c r="F143" s="15" t="s">
        <v>39</v>
      </c>
      <c r="G143" s="93"/>
      <c r="H143" s="12" t="s">
        <v>119</v>
      </c>
    </row>
    <row r="144" spans="1:8" ht="12.75" customHeight="1">
      <c r="A144" s="17" t="s">
        <v>36</v>
      </c>
      <c r="B144" s="34" t="s">
        <v>37</v>
      </c>
      <c r="C144" s="91"/>
      <c r="D144" s="91"/>
      <c r="E144" s="91"/>
      <c r="F144" s="91"/>
      <c r="G144" s="85"/>
      <c r="H144" s="16"/>
    </row>
    <row r="145" spans="1:8" ht="12.75" customHeight="1">
      <c r="A145" s="17" t="s">
        <v>42</v>
      </c>
      <c r="B145" s="34" t="s">
        <v>37</v>
      </c>
      <c r="C145" s="91"/>
      <c r="D145" s="91"/>
      <c r="E145" s="91"/>
      <c r="F145" s="91"/>
      <c r="G145" s="85"/>
      <c r="H145" s="16"/>
    </row>
    <row r="146" spans="1:8" ht="12.75" customHeight="1">
      <c r="A146" s="17" t="s">
        <v>41</v>
      </c>
      <c r="B146" s="34" t="s">
        <v>37</v>
      </c>
      <c r="C146" s="63">
        <f>+B88*B89*B90*H25/1000</f>
        <v>28.79977634847472</v>
      </c>
      <c r="D146" s="63">
        <f>+B88*B89*B91*Q25/1000</f>
        <v>17.232558758655863</v>
      </c>
      <c r="E146" s="63">
        <f>+D146+C146</f>
        <v>46.03233510713058</v>
      </c>
      <c r="F146" s="95">
        <f aca="true" t="shared" si="41" ref="F146:F151">+E146/B$86</f>
        <v>0.2</v>
      </c>
      <c r="G146" s="85" t="s">
        <v>179</v>
      </c>
      <c r="H146" s="16"/>
    </row>
    <row r="147" spans="1:8" ht="12.75" customHeight="1">
      <c r="A147" s="17" t="s">
        <v>40</v>
      </c>
      <c r="B147" s="34" t="s">
        <v>37</v>
      </c>
      <c r="C147" s="63">
        <f>+C90*H25/1000</f>
        <v>115.19910539389888</v>
      </c>
      <c r="D147" s="63">
        <f>+C91*Q25/1000</f>
        <v>68.93023503462345</v>
      </c>
      <c r="E147" s="63">
        <f>+D147+C147</f>
        <v>184.1293404285223</v>
      </c>
      <c r="F147" s="95">
        <f t="shared" si="41"/>
        <v>0.8</v>
      </c>
      <c r="G147" s="85" t="s">
        <v>179</v>
      </c>
      <c r="H147" s="16"/>
    </row>
    <row r="148" spans="1:8" ht="12.75" customHeight="1">
      <c r="A148" s="17" t="s">
        <v>167</v>
      </c>
      <c r="B148" s="34" t="s">
        <v>37</v>
      </c>
      <c r="C148" s="63">
        <f>+C90*H62/1000</f>
        <v>62.88805676879079</v>
      </c>
      <c r="D148" s="63">
        <f>+C91*Q62/1000</f>
        <v>37.84727422815979</v>
      </c>
      <c r="E148" s="63">
        <f>+D148+C148</f>
        <v>100.73533099695058</v>
      </c>
      <c r="F148" s="95">
        <f t="shared" si="41"/>
        <v>0.43767204406428784</v>
      </c>
      <c r="G148" s="85" t="s">
        <v>179</v>
      </c>
      <c r="H148" s="16"/>
    </row>
    <row r="149" spans="1:8" ht="12.75" customHeight="1">
      <c r="A149" s="17" t="s">
        <v>46</v>
      </c>
      <c r="B149" s="34" t="s">
        <v>37</v>
      </c>
      <c r="C149" s="63">
        <f>+C147-C148</f>
        <v>52.311048625108086</v>
      </c>
      <c r="D149" s="22">
        <f>+D147-D148</f>
        <v>31.08296080646366</v>
      </c>
      <c r="E149" s="63">
        <f>+D149+C149</f>
        <v>83.39400943157175</v>
      </c>
      <c r="F149" s="95">
        <f t="shared" si="41"/>
        <v>0.3623279559357123</v>
      </c>
      <c r="G149" s="85" t="s">
        <v>179</v>
      </c>
      <c r="H149" s="16"/>
    </row>
    <row r="150" spans="1:8" ht="12.75" customHeight="1">
      <c r="A150" s="17" t="s">
        <v>34</v>
      </c>
      <c r="B150" s="34" t="s">
        <v>37</v>
      </c>
      <c r="C150" s="22">
        <f>+C144+C145+C146+C147</f>
        <v>143.99888174237358</v>
      </c>
      <c r="D150" s="63">
        <f>+D144+D145+D146+D147</f>
        <v>86.16279379327932</v>
      </c>
      <c r="E150" s="63">
        <f>+E144+E145+E146+E147</f>
        <v>230.16167553565288</v>
      </c>
      <c r="F150" s="95">
        <f t="shared" si="41"/>
        <v>1</v>
      </c>
      <c r="G150" s="85" t="s">
        <v>179</v>
      </c>
      <c r="H150" s="16"/>
    </row>
    <row r="151" spans="1:8" ht="12.75" customHeight="1">
      <c r="A151" s="17" t="s">
        <v>45</v>
      </c>
      <c r="B151" s="34" t="s">
        <v>37</v>
      </c>
      <c r="C151" s="22">
        <f>+C144+C145+C146+C148</f>
        <v>91.68783311726551</v>
      </c>
      <c r="D151" s="63">
        <f>+D144+D145+D146+D148</f>
        <v>55.07983298681565</v>
      </c>
      <c r="E151" s="63">
        <f>+E144+E145+E146+E148</f>
        <v>146.76766610408117</v>
      </c>
      <c r="F151" s="95">
        <f t="shared" si="41"/>
        <v>0.6376720440642879</v>
      </c>
      <c r="G151" s="85" t="s">
        <v>179</v>
      </c>
      <c r="H151" s="96">
        <f>+(F150-F151)/F150</f>
        <v>0.3623279559357121</v>
      </c>
    </row>
    <row r="152" ht="12.75" customHeight="1"/>
    <row r="153" ht="12.75" customHeight="1">
      <c r="C153" s="1" t="s">
        <v>39</v>
      </c>
    </row>
    <row r="154" spans="3:5" ht="12.75" customHeight="1">
      <c r="C154" s="25" t="s">
        <v>47</v>
      </c>
      <c r="D154" s="65">
        <f>+E150/(B$86*1000)*1000</f>
        <v>1</v>
      </c>
      <c r="E154" s="59" t="s">
        <v>180</v>
      </c>
    </row>
    <row r="155" spans="3:5" ht="12.75">
      <c r="C155" s="25" t="s">
        <v>188</v>
      </c>
      <c r="D155" s="65">
        <f>+E151/(B$86*1000)*1000</f>
        <v>0.6376720440642879</v>
      </c>
      <c r="E155" s="59" t="s">
        <v>180</v>
      </c>
    </row>
    <row r="157" ht="12.75">
      <c r="C157" s="1" t="s">
        <v>92</v>
      </c>
    </row>
    <row r="158" spans="3:5" ht="12.75">
      <c r="C158" s="25" t="s">
        <v>47</v>
      </c>
      <c r="D158" s="51">
        <f>+E147/(B$88*(100%-$B$89))*1000</f>
        <v>19.180139627971073</v>
      </c>
      <c r="E158" s="59" t="s">
        <v>120</v>
      </c>
    </row>
    <row r="159" spans="3:5" ht="12.75">
      <c r="C159" s="25" t="s">
        <v>188</v>
      </c>
      <c r="D159" s="51">
        <f>+E148/(B$88*(100%-$B$89))*1000</f>
        <v>10.493263645515686</v>
      </c>
      <c r="E159" s="59" t="s">
        <v>120</v>
      </c>
    </row>
    <row r="160" ht="12.75">
      <c r="D160" s="66"/>
    </row>
    <row r="161" spans="3:4" ht="12.75">
      <c r="C161" s="1" t="s">
        <v>93</v>
      </c>
      <c r="D161" s="66"/>
    </row>
    <row r="162" spans="3:5" ht="12.75">
      <c r="C162" s="25" t="s">
        <v>47</v>
      </c>
      <c r="D162" s="51">
        <f>+(E147+E146)/B$88*1000</f>
        <v>19.180139627971073</v>
      </c>
      <c r="E162" s="59" t="s">
        <v>120</v>
      </c>
    </row>
    <row r="163" spans="3:5" ht="12.75">
      <c r="C163" s="25" t="s">
        <v>188</v>
      </c>
      <c r="D163" s="51">
        <f>+(E148+E146)/B$88*1000</f>
        <v>12.230638842006766</v>
      </c>
      <c r="E163" s="59" t="s">
        <v>120</v>
      </c>
    </row>
    <row r="165" spans="2:4" ht="12.75">
      <c r="B165" s="25" t="s">
        <v>121</v>
      </c>
      <c r="C165" s="84">
        <f>+R140/E149</f>
        <v>287.2865181436669</v>
      </c>
      <c r="D165" s="25" t="s">
        <v>94</v>
      </c>
    </row>
    <row r="166" spans="2:4" ht="12.75">
      <c r="B166" s="25" t="s">
        <v>122</v>
      </c>
      <c r="C166" s="84">
        <f>+R141/E149</f>
        <v>400.00000000000006</v>
      </c>
      <c r="D166" s="25" t="s">
        <v>95</v>
      </c>
    </row>
    <row r="167" spans="2:4" ht="12.75">
      <c r="B167" s="25" t="s">
        <v>123</v>
      </c>
      <c r="C167" s="84">
        <f>+C165-C166</f>
        <v>-112.71348185633315</v>
      </c>
      <c r="D167" s="25" t="s">
        <v>94</v>
      </c>
    </row>
    <row r="169" spans="1:9" ht="12.75">
      <c r="A169" s="100"/>
      <c r="B169" s="101"/>
      <c r="C169" s="170" t="s">
        <v>7</v>
      </c>
      <c r="D169" s="171"/>
      <c r="E169" s="172"/>
      <c r="F169" s="170" t="s">
        <v>8</v>
      </c>
      <c r="G169" s="171"/>
      <c r="H169" s="172"/>
      <c r="I169" s="165" t="s">
        <v>6</v>
      </c>
    </row>
    <row r="170" spans="1:9" ht="14.25" customHeight="1">
      <c r="A170" s="174"/>
      <c r="B170" s="174"/>
      <c r="C170" s="165" t="s">
        <v>125</v>
      </c>
      <c r="D170" s="165" t="s">
        <v>126</v>
      </c>
      <c r="E170" s="165" t="s">
        <v>91</v>
      </c>
      <c r="F170" s="165" t="s">
        <v>125</v>
      </c>
      <c r="G170" s="165" t="s">
        <v>126</v>
      </c>
      <c r="H170" s="102" t="s">
        <v>90</v>
      </c>
      <c r="I170" s="173"/>
    </row>
    <row r="171" spans="1:9" ht="12.75">
      <c r="A171" s="175"/>
      <c r="B171" s="175"/>
      <c r="C171" s="166"/>
      <c r="D171" s="166"/>
      <c r="E171" s="166"/>
      <c r="F171" s="166"/>
      <c r="G171" s="166"/>
      <c r="H171" s="103" t="s">
        <v>127</v>
      </c>
      <c r="I171" s="166"/>
    </row>
    <row r="172" spans="1:9" ht="14.25" customHeight="1">
      <c r="A172" s="167" t="s">
        <v>133</v>
      </c>
      <c r="B172" s="168"/>
      <c r="C172" s="168"/>
      <c r="D172" s="168"/>
      <c r="E172" s="168"/>
      <c r="F172" s="168"/>
      <c r="G172" s="168"/>
      <c r="H172" s="168"/>
      <c r="I172" s="169"/>
    </row>
    <row r="173" spans="1:9" ht="12.75" customHeight="1">
      <c r="A173" s="104" t="s">
        <v>2</v>
      </c>
      <c r="B173" s="105" t="s">
        <v>3</v>
      </c>
      <c r="C173" s="120">
        <f>+H96</f>
        <v>3840</v>
      </c>
      <c r="D173" s="120">
        <f>+H97</f>
        <v>3840</v>
      </c>
      <c r="E173" s="121">
        <f>+D173+C173</f>
        <v>7680</v>
      </c>
      <c r="F173" s="120">
        <f>+Q96</f>
        <v>5760</v>
      </c>
      <c r="G173" s="120">
        <f>+Q97</f>
        <v>5760</v>
      </c>
      <c r="H173" s="121">
        <f>+G173+F173</f>
        <v>11520</v>
      </c>
      <c r="I173" s="121">
        <f>+H173+E173</f>
        <v>19200</v>
      </c>
    </row>
    <row r="174" spans="1:9" ht="12.75" customHeight="1">
      <c r="A174" s="104" t="s">
        <v>12</v>
      </c>
      <c r="B174" s="105" t="s">
        <v>3</v>
      </c>
      <c r="C174" s="138">
        <f>+H100</f>
        <v>0</v>
      </c>
      <c r="D174" s="120">
        <f>+H101</f>
        <v>19200</v>
      </c>
      <c r="E174" s="121">
        <f>+D174+C174</f>
        <v>19200</v>
      </c>
      <c r="F174" s="120">
        <f>+Q100</f>
        <v>0</v>
      </c>
      <c r="G174" s="120">
        <f>+Q101</f>
        <v>28800</v>
      </c>
      <c r="H174" s="121">
        <f>+G174+F174</f>
        <v>28800</v>
      </c>
      <c r="I174" s="121">
        <f>+H174+E174</f>
        <v>48000</v>
      </c>
    </row>
    <row r="175" spans="1:9" ht="12.75" customHeight="1">
      <c r="A175" s="104" t="s">
        <v>161</v>
      </c>
      <c r="B175" s="105" t="s">
        <v>15</v>
      </c>
      <c r="C175" s="139">
        <f>+H104</f>
        <v>0</v>
      </c>
      <c r="D175" s="120">
        <f>+H105</f>
        <v>1920</v>
      </c>
      <c r="E175" s="121">
        <f>+D175+C175</f>
        <v>1920</v>
      </c>
      <c r="F175" s="120">
        <f>+Q104</f>
        <v>0</v>
      </c>
      <c r="G175" s="120">
        <f>+Q105</f>
        <v>1267.2</v>
      </c>
      <c r="H175" s="121">
        <f>+G175+F175</f>
        <v>1267.2</v>
      </c>
      <c r="I175" s="121">
        <f>+H175+E175</f>
        <v>3187.2</v>
      </c>
    </row>
    <row r="176" spans="1:9" ht="12.75" customHeight="1">
      <c r="A176" s="104" t="s">
        <v>168</v>
      </c>
      <c r="B176" s="105" t="s">
        <v>16</v>
      </c>
      <c r="C176" s="120">
        <f>+H108</f>
        <v>4838.4</v>
      </c>
      <c r="D176" s="120">
        <f>+H109</f>
        <v>4838.4</v>
      </c>
      <c r="E176" s="121">
        <f>+D176+C176</f>
        <v>9676.8</v>
      </c>
      <c r="F176" s="120">
        <f>+Q108</f>
        <v>4031.9999999999995</v>
      </c>
      <c r="G176" s="120">
        <f>+Q109</f>
        <v>4031.9999999999995</v>
      </c>
      <c r="H176" s="121">
        <f>+G176+F176</f>
        <v>8063.999999999999</v>
      </c>
      <c r="I176" s="121">
        <f>+H176+E176</f>
        <v>17740.8</v>
      </c>
    </row>
    <row r="177" spans="1:9" ht="12.75" customHeight="1">
      <c r="A177" s="104" t="s">
        <v>163</v>
      </c>
      <c r="B177" s="105" t="s">
        <v>128</v>
      </c>
      <c r="C177" s="120">
        <f>+HC112</f>
        <v>0</v>
      </c>
      <c r="D177" s="120">
        <f>+H113</f>
        <v>480</v>
      </c>
      <c r="E177" s="121">
        <f>+D177+C177</f>
        <v>480</v>
      </c>
      <c r="F177" s="120">
        <f>+Q112</f>
        <v>0</v>
      </c>
      <c r="G177" s="120">
        <f>+Q113</f>
        <v>316.8</v>
      </c>
      <c r="H177" s="121">
        <f>+G177+F177</f>
        <v>316.8</v>
      </c>
      <c r="I177" s="121">
        <f>+H177+E177</f>
        <v>796.8</v>
      </c>
    </row>
    <row r="178" spans="1:9" ht="12.75" customHeight="1">
      <c r="A178" s="107" t="s">
        <v>54</v>
      </c>
      <c r="B178" s="108" t="s">
        <v>3</v>
      </c>
      <c r="C178" s="121">
        <f aca="true" t="shared" si="42" ref="C178:I178">SUM(C173:C177)</f>
        <v>8678.4</v>
      </c>
      <c r="D178" s="121">
        <f t="shared" si="42"/>
        <v>30278.4</v>
      </c>
      <c r="E178" s="121">
        <f t="shared" si="42"/>
        <v>38956.8</v>
      </c>
      <c r="F178" s="121">
        <f t="shared" si="42"/>
        <v>9792</v>
      </c>
      <c r="G178" s="121">
        <f t="shared" si="42"/>
        <v>40176</v>
      </c>
      <c r="H178" s="121">
        <f t="shared" si="42"/>
        <v>49968</v>
      </c>
      <c r="I178" s="158">
        <f t="shared" si="42"/>
        <v>88924.8</v>
      </c>
    </row>
    <row r="179" spans="1:9" ht="12.75" customHeight="1">
      <c r="A179" s="104" t="s">
        <v>129</v>
      </c>
      <c r="B179" s="105" t="s">
        <v>4</v>
      </c>
      <c r="C179" s="123"/>
      <c r="D179" s="123"/>
      <c r="E179" s="121">
        <f>0.1233*E178</f>
        <v>4803.37344</v>
      </c>
      <c r="F179" s="121"/>
      <c r="G179" s="121"/>
      <c r="H179" s="121">
        <f>0.1233*H178</f>
        <v>6161.0544</v>
      </c>
      <c r="I179" s="121">
        <f>0.1233*I178</f>
        <v>10964.42784</v>
      </c>
    </row>
    <row r="180" spans="1:9" ht="12.75" customHeight="1">
      <c r="A180" s="126" t="s">
        <v>130</v>
      </c>
      <c r="B180" s="126"/>
      <c r="C180" s="127"/>
      <c r="D180" s="127"/>
      <c r="E180" s="127"/>
      <c r="F180" s="127"/>
      <c r="G180" s="127"/>
      <c r="H180" s="127"/>
      <c r="I180" s="127"/>
    </row>
    <row r="181" spans="1:9" ht="12.75" customHeight="1">
      <c r="A181" s="107" t="s">
        <v>135</v>
      </c>
      <c r="B181" s="106"/>
      <c r="C181" s="123"/>
      <c r="D181" s="123"/>
      <c r="E181" s="123"/>
      <c r="F181" s="123"/>
      <c r="G181" s="123"/>
      <c r="H181" s="123"/>
      <c r="I181" s="123"/>
    </row>
    <row r="182" spans="1:9" ht="12.75" customHeight="1">
      <c r="A182" s="104" t="s">
        <v>131</v>
      </c>
      <c r="B182" s="105" t="s">
        <v>4</v>
      </c>
      <c r="C182" s="120">
        <f>+H121</f>
        <v>0</v>
      </c>
      <c r="D182" s="120">
        <f>+H122</f>
        <v>3839.9999999999995</v>
      </c>
      <c r="E182" s="120">
        <f>+D182+C182</f>
        <v>3839.9999999999995</v>
      </c>
      <c r="F182" s="120">
        <f>+Q121</f>
        <v>0</v>
      </c>
      <c r="G182" s="120">
        <f>+Q122</f>
        <v>5760</v>
      </c>
      <c r="H182" s="121">
        <f>+G182+F182</f>
        <v>5760</v>
      </c>
      <c r="I182" s="121">
        <f>+H182+E182</f>
        <v>9600</v>
      </c>
    </row>
    <row r="183" spans="1:9" ht="12.75" customHeight="1">
      <c r="A183" s="104" t="s">
        <v>161</v>
      </c>
      <c r="B183" s="105" t="s">
        <v>4</v>
      </c>
      <c r="C183" s="120">
        <f>+H125</f>
        <v>0</v>
      </c>
      <c r="D183" s="120">
        <f>+H126</f>
        <v>277.69343999999995</v>
      </c>
      <c r="E183" s="120">
        <f>+D183+C183</f>
        <v>277.69343999999995</v>
      </c>
      <c r="F183" s="120">
        <f>+Q125</f>
        <v>0</v>
      </c>
      <c r="G183" s="120">
        <f>+Q126</f>
        <v>175.03488</v>
      </c>
      <c r="H183" s="121">
        <f>+G183+F183</f>
        <v>175.03488</v>
      </c>
      <c r="I183" s="121">
        <f aca="true" t="shared" si="43" ref="I183:I188">+H183+E183</f>
        <v>452.72831999999994</v>
      </c>
    </row>
    <row r="184" spans="1:9" ht="12.75" customHeight="1">
      <c r="A184" s="104" t="s">
        <v>169</v>
      </c>
      <c r="B184" s="105" t="s">
        <v>4</v>
      </c>
      <c r="C184" s="120">
        <f>+H129</f>
        <v>771.1735537190083</v>
      </c>
      <c r="D184" s="120">
        <f>+H130</f>
        <v>771.1735537190083</v>
      </c>
      <c r="E184" s="120">
        <f>+D184+C184</f>
        <v>1542.3471074380166</v>
      </c>
      <c r="F184" s="120">
        <f>+Q129</f>
        <v>642.6446280991736</v>
      </c>
      <c r="G184" s="120">
        <f>+Q130</f>
        <v>642.6446280991736</v>
      </c>
      <c r="H184" s="121">
        <f>+G184+F184</f>
        <v>1285.2892561983472</v>
      </c>
      <c r="I184" s="121">
        <f t="shared" si="43"/>
        <v>2827.636363636364</v>
      </c>
    </row>
    <row r="185" spans="1:9" ht="12.75" customHeight="1">
      <c r="A185" s="104" t="s">
        <v>136</v>
      </c>
      <c r="B185" s="105" t="s">
        <v>4</v>
      </c>
      <c r="C185" s="120">
        <f>+H133</f>
        <v>0</v>
      </c>
      <c r="D185" s="120">
        <f>+H134</f>
        <v>69.42335999999999</v>
      </c>
      <c r="E185" s="120">
        <f>+D185+C185</f>
        <v>69.42335999999999</v>
      </c>
      <c r="F185" s="120">
        <f>+Q133</f>
        <v>0</v>
      </c>
      <c r="G185" s="120">
        <f>+Q134</f>
        <v>43.75872</v>
      </c>
      <c r="H185" s="121">
        <f>+G185+F185</f>
        <v>43.75872</v>
      </c>
      <c r="I185" s="121">
        <f t="shared" si="43"/>
        <v>113.18207999999998</v>
      </c>
    </row>
    <row r="186" spans="1:9" ht="12.75" customHeight="1">
      <c r="A186" s="107" t="s">
        <v>20</v>
      </c>
      <c r="B186" s="108" t="s">
        <v>4</v>
      </c>
      <c r="C186" s="121">
        <f aca="true" t="shared" si="44" ref="C186:H186">SUM(C182:C185)</f>
        <v>771.1735537190083</v>
      </c>
      <c r="D186" s="121">
        <f t="shared" si="44"/>
        <v>4958.290353719007</v>
      </c>
      <c r="E186" s="121">
        <f t="shared" si="44"/>
        <v>5729.463907438016</v>
      </c>
      <c r="F186" s="121">
        <f t="shared" si="44"/>
        <v>642.6446280991736</v>
      </c>
      <c r="G186" s="121">
        <f t="shared" si="44"/>
        <v>6621.438228099174</v>
      </c>
      <c r="H186" s="121">
        <f t="shared" si="44"/>
        <v>7264.082856198347</v>
      </c>
      <c r="I186" s="158">
        <f t="shared" si="43"/>
        <v>12993.546763636363</v>
      </c>
    </row>
    <row r="187" spans="1:9" s="1" customFormat="1" ht="12.75" customHeight="1">
      <c r="A187" s="107" t="s">
        <v>132</v>
      </c>
      <c r="B187" s="108" t="s">
        <v>4</v>
      </c>
      <c r="C187" s="124"/>
      <c r="D187" s="124"/>
      <c r="E187" s="121">
        <f>+H140</f>
        <v>10532.837347438017</v>
      </c>
      <c r="F187" s="124"/>
      <c r="G187" s="124"/>
      <c r="H187" s="121">
        <f>+Q140</f>
        <v>13425.137256198348</v>
      </c>
      <c r="I187" s="121">
        <f t="shared" si="43"/>
        <v>23957.974603636365</v>
      </c>
    </row>
    <row r="188" spans="1:9" ht="12.75" customHeight="1">
      <c r="A188" s="109" t="s">
        <v>22</v>
      </c>
      <c r="B188" s="110" t="s">
        <v>4</v>
      </c>
      <c r="C188" s="123"/>
      <c r="D188" s="123"/>
      <c r="E188" s="125">
        <f>+H141</f>
        <v>20924.419450043235</v>
      </c>
      <c r="F188" s="123"/>
      <c r="G188" s="123"/>
      <c r="H188" s="121">
        <f>+Q141</f>
        <v>12433.184322585465</v>
      </c>
      <c r="I188" s="158">
        <f t="shared" si="43"/>
        <v>33357.6037726287</v>
      </c>
    </row>
  </sheetData>
  <mergeCells count="11">
    <mergeCell ref="F170:F171"/>
    <mergeCell ref="G170:G171"/>
    <mergeCell ref="A172:I172"/>
    <mergeCell ref="C169:E169"/>
    <mergeCell ref="F169:H169"/>
    <mergeCell ref="I169:I171"/>
    <mergeCell ref="A170:A171"/>
    <mergeCell ref="B170:B171"/>
    <mergeCell ref="C170:C171"/>
    <mergeCell ref="D170:D171"/>
    <mergeCell ref="E170:E171"/>
  </mergeCells>
  <printOptions/>
  <pageMargins left="0.7874015748031497" right="0.7874015748031497" top="0.984251968503937" bottom="0.984251968503937" header="0.5118110236220472" footer="0.5118110236220472"/>
  <pageSetup fitToHeight="0" fitToWidth="2" orientation="landscape" paperSize="9" scale="79" r:id="rId2"/>
  <headerFooter alignWithMargins="0">
    <oddHeader>&amp;L&amp;P/&amp;N&amp;R&amp;F/&amp;A</oddHeader>
  </headerFooter>
  <rowBreaks count="6" manualBreakCount="6">
    <brk id="38" max="17" man="1"/>
    <brk id="63" max="17" man="1"/>
    <brk id="92" max="17" man="1"/>
    <brk id="120" max="17" man="1"/>
    <brk id="141" max="17" man="1"/>
    <brk id="152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3"/>
  <sheetViews>
    <sheetView workbookViewId="0" topLeftCell="E152">
      <selection activeCell="E203" sqref="E203"/>
    </sheetView>
  </sheetViews>
  <sheetFormatPr defaultColWidth="11.421875" defaultRowHeight="12.75"/>
  <cols>
    <col min="1" max="1" width="55.421875" style="25" customWidth="1"/>
    <col min="2" max="2" width="18.7109375" style="25" customWidth="1"/>
    <col min="3" max="3" width="14.28125" style="25" customWidth="1"/>
    <col min="4" max="8" width="15.421875" style="25" customWidth="1"/>
    <col min="9" max="9" width="12.57421875" style="25" customWidth="1"/>
    <col min="10" max="10" width="47.140625" style="25" customWidth="1"/>
    <col min="11" max="11" width="17.7109375" style="25" customWidth="1"/>
    <col min="12" max="12" width="15.421875" style="25" customWidth="1"/>
    <col min="13" max="13" width="13.57421875" style="25" customWidth="1"/>
    <col min="14" max="14" width="14.140625" style="25" customWidth="1"/>
    <col min="15" max="15" width="15.421875" style="25" customWidth="1"/>
    <col min="16" max="16" width="12.8515625" style="25" customWidth="1"/>
    <col min="17" max="18" width="15.421875" style="25" customWidth="1"/>
    <col min="19" max="33" width="11.421875" style="25" customWidth="1"/>
    <col min="34" max="16384" width="15.421875" style="25" customWidth="1"/>
  </cols>
  <sheetData>
    <row r="1" spans="1:11" ht="12.75">
      <c r="A1" s="1" t="s">
        <v>182</v>
      </c>
      <c r="B1" s="25" t="s">
        <v>7</v>
      </c>
      <c r="J1" s="1" t="s">
        <v>182</v>
      </c>
      <c r="K1" s="25" t="s">
        <v>8</v>
      </c>
    </row>
    <row r="3" ht="12.75">
      <c r="K3" s="26"/>
    </row>
    <row r="4" spans="1:16" s="1" customFormat="1" ht="12.75">
      <c r="A4" s="14" t="s">
        <v>57</v>
      </c>
      <c r="B4" s="14"/>
      <c r="C4" s="24" t="s">
        <v>51</v>
      </c>
      <c r="D4" s="24" t="s">
        <v>58</v>
      </c>
      <c r="E4" s="24" t="s">
        <v>59</v>
      </c>
      <c r="F4" s="24" t="s">
        <v>108</v>
      </c>
      <c r="G4" s="24" t="s">
        <v>52</v>
      </c>
      <c r="J4" s="14" t="s">
        <v>57</v>
      </c>
      <c r="K4" s="14"/>
      <c r="L4" s="24" t="s">
        <v>51</v>
      </c>
      <c r="M4" s="24" t="s">
        <v>58</v>
      </c>
      <c r="N4" s="24" t="s">
        <v>59</v>
      </c>
      <c r="O4" s="24" t="s">
        <v>108</v>
      </c>
      <c r="P4" s="24" t="s">
        <v>52</v>
      </c>
    </row>
    <row r="5" spans="1:16" ht="12.75">
      <c r="A5" s="28" t="s">
        <v>99</v>
      </c>
      <c r="B5" s="16"/>
      <c r="C5" s="113">
        <f>+'PMC 01'!C5</f>
        <v>100</v>
      </c>
      <c r="D5" s="113">
        <f>+'PMC 01'!D5</f>
        <v>3500</v>
      </c>
      <c r="E5" s="113">
        <f>+'PMC 01'!E5</f>
        <v>7000</v>
      </c>
      <c r="F5" s="113">
        <f>+'PMC 01'!F5</f>
        <v>55000</v>
      </c>
      <c r="G5" s="16" t="s">
        <v>98</v>
      </c>
      <c r="J5" s="28" t="s">
        <v>99</v>
      </c>
      <c r="K5" s="28"/>
      <c r="L5" s="113">
        <f>+'PMC 01'!L5</f>
        <v>97.5</v>
      </c>
      <c r="M5" s="113">
        <f>+'PMC 01'!M5</f>
        <v>3000</v>
      </c>
      <c r="N5" s="113">
        <f>+'PMC 01'!N5</f>
        <v>6500</v>
      </c>
      <c r="O5" s="113">
        <f>+'PMC 01'!O5</f>
        <v>43000</v>
      </c>
      <c r="P5" s="16" t="s">
        <v>98</v>
      </c>
    </row>
    <row r="6" spans="1:16" ht="12.75">
      <c r="A6" s="28" t="s">
        <v>100</v>
      </c>
      <c r="B6" s="28"/>
      <c r="C6" s="28"/>
      <c r="D6" s="28"/>
      <c r="E6" s="28"/>
      <c r="F6" s="28"/>
      <c r="G6" s="28"/>
      <c r="J6" s="28" t="s">
        <v>100</v>
      </c>
      <c r="K6" s="28"/>
      <c r="L6" s="28"/>
      <c r="M6" s="28"/>
      <c r="N6" s="28"/>
      <c r="O6" s="28"/>
      <c r="P6" s="28"/>
    </row>
    <row r="7" spans="1:16" ht="12.75">
      <c r="A7" s="16" t="s">
        <v>49</v>
      </c>
      <c r="B7" s="16" t="s">
        <v>50</v>
      </c>
      <c r="C7" s="30">
        <f>1.87*0.000001*C5^0.873</f>
        <v>0.00010419373505027089</v>
      </c>
      <c r="D7" s="30">
        <f>1.87*0.000001*D5^0.873</f>
        <v>0.0023217369291838597</v>
      </c>
      <c r="E7" s="30">
        <f>1.87*0.000001*E5^0.873</f>
        <v>0.004252185434109273</v>
      </c>
      <c r="F7" s="30">
        <f>1.87*0.000001*F5^0.873</f>
        <v>0.02571450889748089</v>
      </c>
      <c r="G7" s="114">
        <f>+'PMC 01'!G7</f>
        <v>0.11</v>
      </c>
      <c r="J7" s="16" t="s">
        <v>49</v>
      </c>
      <c r="K7" s="16" t="s">
        <v>50</v>
      </c>
      <c r="L7" s="30">
        <f>1.87*0.000001*L5^0.873</f>
        <v>0.0001019160624009378</v>
      </c>
      <c r="M7" s="30">
        <f>1.87*0.000001*M5^0.873</f>
        <v>0.0020294037657179053</v>
      </c>
      <c r="N7" s="30">
        <f>1.87*0.000001*N5^0.873</f>
        <v>0.003985795081341449</v>
      </c>
      <c r="O7" s="30">
        <f>1.87*0.000001*O5^0.873</f>
        <v>0.020742426901068457</v>
      </c>
      <c r="P7" s="114">
        <f>+'PMC 01'!P7</f>
        <v>0.11</v>
      </c>
    </row>
    <row r="8" spans="1:16" ht="12.75">
      <c r="A8" s="16" t="s">
        <v>101</v>
      </c>
      <c r="B8" s="16" t="s">
        <v>50</v>
      </c>
      <c r="C8" s="30">
        <f>6.41*0.000001*C5^0.797</f>
        <v>0.0002516854035911436</v>
      </c>
      <c r="D8" s="30">
        <f>6.41*0.000001*D5^0.797</f>
        <v>0.004280359644661665</v>
      </c>
      <c r="E8" s="30">
        <f>6.41*0.000001*E5^0.797</f>
        <v>0.007437057981867841</v>
      </c>
      <c r="F8" s="30">
        <f>6.41*0.000001*F5^0.797</f>
        <v>0.038452722432423245</v>
      </c>
      <c r="G8" s="114">
        <f>+'PMC 01'!G8</f>
        <v>0.15</v>
      </c>
      <c r="J8" s="16" t="s">
        <v>101</v>
      </c>
      <c r="K8" s="16" t="s">
        <v>50</v>
      </c>
      <c r="L8" s="30">
        <f>6.41*0.000001*L5^0.797</f>
        <v>0.00024665771743465005</v>
      </c>
      <c r="M8" s="30">
        <f>6.41*0.000001*M5^0.797</f>
        <v>0.0037855036522766294</v>
      </c>
      <c r="N8" s="30">
        <f>6.41*0.000001*N5^0.797</f>
        <v>0.007010515837513619</v>
      </c>
      <c r="O8" s="30">
        <f>6.41*0.000001*O5^0.797</f>
        <v>0.03160329671284086</v>
      </c>
      <c r="P8" s="114">
        <f>+'PMC 01'!P8</f>
        <v>0.15</v>
      </c>
    </row>
    <row r="9" spans="1:16" ht="12.75">
      <c r="A9" s="16" t="s">
        <v>102</v>
      </c>
      <c r="B9" s="16" t="s">
        <v>50</v>
      </c>
      <c r="C9" s="30">
        <f>1.9*0.00001*C5^0.824</f>
        <v>0.0008447994081913066</v>
      </c>
      <c r="D9" s="30">
        <f>1.9*0.00001*D5^0.824</f>
        <v>0.015814871572412525</v>
      </c>
      <c r="E9" s="30">
        <f>1.9*0.00001*E5^0.824</f>
        <v>0.02799718621732595</v>
      </c>
      <c r="F9" s="30">
        <f>1.9*0.00001*F5^0.824</f>
        <v>0.15304264295707065</v>
      </c>
      <c r="G9" s="114">
        <f>+'PMC 01'!G9</f>
        <v>0.62</v>
      </c>
      <c r="J9" s="16" t="s">
        <v>102</v>
      </c>
      <c r="K9" s="16" t="s">
        <v>50</v>
      </c>
      <c r="L9" s="30">
        <f>1.9*0.00001*L5^0.824</f>
        <v>0.000827357873682288</v>
      </c>
      <c r="M9" s="30">
        <f>1.9*0.00001*M5^0.824</f>
        <v>0.013928409119590366</v>
      </c>
      <c r="N9" s="30">
        <f>1.9*0.00001*N5^0.824</f>
        <v>0.026338692186075638</v>
      </c>
      <c r="O9" s="30">
        <f>1.9*0.00001*O5^0.824</f>
        <v>0.1249486615572774</v>
      </c>
      <c r="P9" s="114">
        <f>+'PMC 01'!P9</f>
        <v>0.62</v>
      </c>
    </row>
    <row r="10" spans="1:16" ht="12.75">
      <c r="A10" s="16" t="s">
        <v>103</v>
      </c>
      <c r="B10" s="16" t="s">
        <v>50</v>
      </c>
      <c r="C10" s="30">
        <f>3.05*0.000001*C5^0.885</f>
        <v>0.00017959731488345477</v>
      </c>
      <c r="D10" s="30">
        <f>3.05*0.000001*D5^0.885</f>
        <v>0.004176380493003961</v>
      </c>
      <c r="E10" s="30">
        <f>3.05*0.000001*E5^0.885</f>
        <v>0.0077127917402303355</v>
      </c>
      <c r="F10" s="30">
        <f>3.05*0.000001*F5^0.885</f>
        <v>0.047810228524175345</v>
      </c>
      <c r="G10" s="114">
        <f>+'PMC 01'!G10</f>
        <v>0.22</v>
      </c>
      <c r="J10" s="16" t="s">
        <v>103</v>
      </c>
      <c r="K10" s="16" t="s">
        <v>50</v>
      </c>
      <c r="L10" s="30">
        <f>3.05*0.000001*L5^0.885</f>
        <v>0.00017561795846814918</v>
      </c>
      <c r="M10" s="30">
        <f>3.05*0.000001*M5^0.885</f>
        <v>0.003643780016938916</v>
      </c>
      <c r="N10" s="30">
        <f>3.05*0.000001*N5^0.885</f>
        <v>0.007223175383976949</v>
      </c>
      <c r="O10" s="30">
        <f>3.05*0.000001*O5^0.885</f>
        <v>0.038452043286271595</v>
      </c>
      <c r="P10" s="114">
        <f>+'PMC 01'!P10</f>
        <v>0.22</v>
      </c>
    </row>
    <row r="11" spans="1:16" ht="12.75">
      <c r="A11" s="16" t="s">
        <v>104</v>
      </c>
      <c r="B11" s="16" t="s">
        <v>50</v>
      </c>
      <c r="C11" s="30">
        <f>+(C9+C8)/2</f>
        <v>0.0005482424058912251</v>
      </c>
      <c r="D11" s="30">
        <f>+(D9+D8)/2</f>
        <v>0.010047615608537095</v>
      </c>
      <c r="E11" s="30">
        <f>+(E9+E8)/2</f>
        <v>0.017717122099596895</v>
      </c>
      <c r="F11" s="30">
        <f>+(F9+F8)/2</f>
        <v>0.09574768269474696</v>
      </c>
      <c r="G11" s="32">
        <f>+(G9+G8)/2</f>
        <v>0.385</v>
      </c>
      <c r="J11" s="16" t="s">
        <v>104</v>
      </c>
      <c r="K11" s="16" t="s">
        <v>50</v>
      </c>
      <c r="L11" s="30">
        <f>+(L9+L8)/2</f>
        <v>0.0005370077955584691</v>
      </c>
      <c r="M11" s="30">
        <f>+(M9+M8)/2</f>
        <v>0.008856956385933498</v>
      </c>
      <c r="N11" s="30">
        <f>+(N9+N8)/2</f>
        <v>0.01667460401179463</v>
      </c>
      <c r="O11" s="30">
        <f>+(O9+O8)/2</f>
        <v>0.07827597913505913</v>
      </c>
      <c r="P11" s="32">
        <f>+(P9+P8)/2</f>
        <v>0.385</v>
      </c>
    </row>
    <row r="12" spans="1:16" ht="12.75">
      <c r="A12" s="67" t="s">
        <v>155</v>
      </c>
      <c r="B12" s="16">
        <v>8600</v>
      </c>
      <c r="C12" s="33" t="s">
        <v>63</v>
      </c>
      <c r="D12" s="16"/>
      <c r="E12" s="16"/>
      <c r="F12" s="16"/>
      <c r="G12" s="34"/>
      <c r="J12" s="67" t="s">
        <v>155</v>
      </c>
      <c r="K12" s="16">
        <v>8600</v>
      </c>
      <c r="L12" s="33" t="s">
        <v>63</v>
      </c>
      <c r="M12" s="16"/>
      <c r="N12" s="16"/>
      <c r="O12" s="16"/>
      <c r="P12" s="34"/>
    </row>
    <row r="13" spans="1:16" ht="12.75">
      <c r="A13" s="16" t="s">
        <v>49</v>
      </c>
      <c r="B13" s="16" t="s">
        <v>61</v>
      </c>
      <c r="C13" s="35">
        <f aca="true" t="shared" si="0" ref="C13:G16">+C7*$B$12</f>
        <v>0.8960661214323297</v>
      </c>
      <c r="D13" s="35">
        <f t="shared" si="0"/>
        <v>19.966937590981193</v>
      </c>
      <c r="E13" s="35">
        <f t="shared" si="0"/>
        <v>36.56879473333975</v>
      </c>
      <c r="F13" s="35">
        <f t="shared" si="0"/>
        <v>221.14477651833565</v>
      </c>
      <c r="G13" s="35">
        <f t="shared" si="0"/>
        <v>946</v>
      </c>
      <c r="J13" s="16" t="s">
        <v>49</v>
      </c>
      <c r="K13" s="16" t="s">
        <v>61</v>
      </c>
      <c r="L13" s="35">
        <f aca="true" t="shared" si="1" ref="L13:P16">+L7*$B$12</f>
        <v>0.8764781366480651</v>
      </c>
      <c r="M13" s="35">
        <f t="shared" si="1"/>
        <v>17.452872385173986</v>
      </c>
      <c r="N13" s="35">
        <f t="shared" si="1"/>
        <v>34.277837699536455</v>
      </c>
      <c r="O13" s="35">
        <f t="shared" si="1"/>
        <v>178.38487134918873</v>
      </c>
      <c r="P13" s="35">
        <f t="shared" si="1"/>
        <v>946</v>
      </c>
    </row>
    <row r="14" spans="1:16" ht="12.75">
      <c r="A14" s="16" t="s">
        <v>101</v>
      </c>
      <c r="B14" s="16" t="s">
        <v>61</v>
      </c>
      <c r="C14" s="35">
        <f t="shared" si="0"/>
        <v>2.164494470883835</v>
      </c>
      <c r="D14" s="35">
        <f t="shared" si="0"/>
        <v>36.81109294409032</v>
      </c>
      <c r="E14" s="35">
        <f t="shared" si="0"/>
        <v>63.95869864406343</v>
      </c>
      <c r="F14" s="35">
        <f t="shared" si="0"/>
        <v>330.6934129188399</v>
      </c>
      <c r="G14" s="35">
        <f t="shared" si="0"/>
        <v>1290</v>
      </c>
      <c r="J14" s="16" t="s">
        <v>101</v>
      </c>
      <c r="K14" s="16" t="s">
        <v>61</v>
      </c>
      <c r="L14" s="35">
        <f t="shared" si="1"/>
        <v>2.1212563699379903</v>
      </c>
      <c r="M14" s="35">
        <f t="shared" si="1"/>
        <v>32.55533140957901</v>
      </c>
      <c r="N14" s="35">
        <f t="shared" si="1"/>
        <v>60.29043620261713</v>
      </c>
      <c r="O14" s="35">
        <f t="shared" si="1"/>
        <v>271.7883517304314</v>
      </c>
      <c r="P14" s="35">
        <f t="shared" si="1"/>
        <v>1290</v>
      </c>
    </row>
    <row r="15" spans="1:16" ht="12.75">
      <c r="A15" s="16" t="s">
        <v>102</v>
      </c>
      <c r="B15" s="16" t="s">
        <v>61</v>
      </c>
      <c r="C15" s="35">
        <f t="shared" si="0"/>
        <v>7.265274910445237</v>
      </c>
      <c r="D15" s="35">
        <f t="shared" si="0"/>
        <v>136.0078955227477</v>
      </c>
      <c r="E15" s="35">
        <f t="shared" si="0"/>
        <v>240.77580146900317</v>
      </c>
      <c r="F15" s="35">
        <f t="shared" si="0"/>
        <v>1316.1667294308077</v>
      </c>
      <c r="G15" s="35">
        <f t="shared" si="0"/>
        <v>5332</v>
      </c>
      <c r="J15" s="16" t="s">
        <v>102</v>
      </c>
      <c r="K15" s="16" t="s">
        <v>61</v>
      </c>
      <c r="L15" s="35">
        <f t="shared" si="1"/>
        <v>7.115277713667677</v>
      </c>
      <c r="M15" s="35">
        <f t="shared" si="1"/>
        <v>119.78431842847715</v>
      </c>
      <c r="N15" s="35">
        <f t="shared" si="1"/>
        <v>226.5127528002505</v>
      </c>
      <c r="O15" s="35">
        <f t="shared" si="1"/>
        <v>1074.5584893925857</v>
      </c>
      <c r="P15" s="35">
        <f t="shared" si="1"/>
        <v>5332</v>
      </c>
    </row>
    <row r="16" spans="1:16" ht="12.75">
      <c r="A16" s="16" t="s">
        <v>103</v>
      </c>
      <c r="B16" s="16" t="s">
        <v>61</v>
      </c>
      <c r="C16" s="35">
        <f t="shared" si="0"/>
        <v>1.544536907997711</v>
      </c>
      <c r="D16" s="35">
        <f t="shared" si="0"/>
        <v>35.91687223983406</v>
      </c>
      <c r="E16" s="35">
        <f t="shared" si="0"/>
        <v>66.33000896598088</v>
      </c>
      <c r="F16" s="35">
        <f t="shared" si="0"/>
        <v>411.167965307908</v>
      </c>
      <c r="G16" s="35">
        <f t="shared" si="0"/>
        <v>1892</v>
      </c>
      <c r="J16" s="16" t="s">
        <v>103</v>
      </c>
      <c r="K16" s="16" t="s">
        <v>61</v>
      </c>
      <c r="L16" s="35">
        <f t="shared" si="1"/>
        <v>1.5103144428260828</v>
      </c>
      <c r="M16" s="35">
        <f t="shared" si="1"/>
        <v>31.336508145674678</v>
      </c>
      <c r="N16" s="35">
        <f t="shared" si="1"/>
        <v>62.119308302201766</v>
      </c>
      <c r="O16" s="35">
        <f t="shared" si="1"/>
        <v>330.6875722619357</v>
      </c>
      <c r="P16" s="35">
        <f t="shared" si="1"/>
        <v>1892</v>
      </c>
    </row>
    <row r="17" spans="1:16" ht="12.75">
      <c r="A17" s="16" t="s">
        <v>104</v>
      </c>
      <c r="B17" s="16" t="s">
        <v>61</v>
      </c>
      <c r="C17" s="35">
        <f>+C14*0.75+C15*0.25</f>
        <v>3.4396895807741856</v>
      </c>
      <c r="D17" s="35">
        <f>+D14*0.75+D15*0.25</f>
        <v>61.610293588754665</v>
      </c>
      <c r="E17" s="35">
        <f>+E14*0.75+E15*0.25</f>
        <v>108.16297435029837</v>
      </c>
      <c r="F17" s="35">
        <f>+F14*0.75+F15*0.25</f>
        <v>577.0617420468318</v>
      </c>
      <c r="G17" s="35">
        <f>+G14*0.75+G15*0.25</f>
        <v>2300.5</v>
      </c>
      <c r="J17" s="16" t="s">
        <v>103</v>
      </c>
      <c r="K17" s="16" t="s">
        <v>61</v>
      </c>
      <c r="L17" s="35">
        <f>+L16</f>
        <v>1.5103144428260828</v>
      </c>
      <c r="M17" s="35">
        <f>+M16</f>
        <v>31.336508145674678</v>
      </c>
      <c r="N17" s="35">
        <f>+N16</f>
        <v>62.119308302201766</v>
      </c>
      <c r="O17" s="35">
        <f>+O16</f>
        <v>330.6875722619357</v>
      </c>
      <c r="P17" s="35">
        <f>+P16</f>
        <v>1892</v>
      </c>
    </row>
    <row r="18" spans="1:256" ht="12.75">
      <c r="A18" s="68"/>
      <c r="B18" s="68"/>
      <c r="C18" s="68"/>
      <c r="D18" s="68"/>
      <c r="E18" s="68"/>
      <c r="F18" s="68"/>
      <c r="G18" s="68"/>
      <c r="J18" s="68"/>
      <c r="K18" s="68"/>
      <c r="L18" s="68"/>
      <c r="M18" s="68"/>
      <c r="N18" s="68"/>
      <c r="O18" s="68"/>
      <c r="P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11" ht="12.75">
      <c r="A19" s="25" t="s">
        <v>65</v>
      </c>
      <c r="B19" s="115">
        <f>+'PMC 01'!B19</f>
        <v>0.3</v>
      </c>
      <c r="J19" s="25" t="s">
        <v>65</v>
      </c>
      <c r="K19" s="115">
        <f>+'PMC 01'!K19</f>
        <v>0.3</v>
      </c>
    </row>
    <row r="20" spans="1:11" ht="12.75">
      <c r="A20" s="25" t="s">
        <v>66</v>
      </c>
      <c r="B20" s="115">
        <f>+'PMC 01'!B20</f>
        <v>0.5</v>
      </c>
      <c r="J20" s="25" t="s">
        <v>66</v>
      </c>
      <c r="K20" s="115">
        <f>+'PMC 01'!K20</f>
        <v>0.5</v>
      </c>
    </row>
    <row r="21" spans="1:16" ht="12.75">
      <c r="A21" s="69" t="s">
        <v>107</v>
      </c>
      <c r="B21" s="116">
        <f>+'PMC 01'!B21</f>
        <v>1.21</v>
      </c>
      <c r="C21" s="38"/>
      <c r="D21" s="38"/>
      <c r="E21" s="38"/>
      <c r="F21" s="38"/>
      <c r="G21" s="38"/>
      <c r="J21" s="69" t="s">
        <v>107</v>
      </c>
      <c r="K21" s="116">
        <f>+'PMC 01'!K21</f>
        <v>1.21</v>
      </c>
      <c r="L21" s="38"/>
      <c r="N21" s="38"/>
      <c r="O21" s="38"/>
      <c r="P21" s="38"/>
    </row>
    <row r="22" spans="3:16" ht="12.75">
      <c r="C22" s="38"/>
      <c r="D22" s="38"/>
      <c r="E22" s="38"/>
      <c r="F22" s="38"/>
      <c r="G22" s="38"/>
      <c r="L22" s="38"/>
      <c r="M22" s="38"/>
      <c r="N22" s="38"/>
      <c r="O22" s="38"/>
      <c r="P22" s="38"/>
    </row>
    <row r="23" spans="1:17" ht="12.75">
      <c r="A23" s="14" t="s">
        <v>57</v>
      </c>
      <c r="B23" s="14"/>
      <c r="C23" s="24" t="s">
        <v>51</v>
      </c>
      <c r="D23" s="24" t="s">
        <v>58</v>
      </c>
      <c r="E23" s="24" t="s">
        <v>59</v>
      </c>
      <c r="F23" s="24" t="s">
        <v>108</v>
      </c>
      <c r="G23" s="24" t="s">
        <v>52</v>
      </c>
      <c r="H23" s="83" t="s">
        <v>6</v>
      </c>
      <c r="J23" s="14" t="s">
        <v>57</v>
      </c>
      <c r="K23" s="16"/>
      <c r="L23" s="27" t="s">
        <v>51</v>
      </c>
      <c r="M23" s="27" t="s">
        <v>58</v>
      </c>
      <c r="N23" s="27" t="s">
        <v>59</v>
      </c>
      <c r="O23" s="27" t="s">
        <v>60</v>
      </c>
      <c r="P23" s="27" t="s">
        <v>52</v>
      </c>
      <c r="Q23" s="39" t="s">
        <v>6</v>
      </c>
    </row>
    <row r="24" spans="1:17" ht="12.75">
      <c r="A24" s="16" t="s">
        <v>156</v>
      </c>
      <c r="B24" s="16" t="s">
        <v>62</v>
      </c>
      <c r="C24" s="117">
        <f>+'PMC 01'!C24</f>
        <v>0.975</v>
      </c>
      <c r="D24" s="117">
        <f>+'PMC 01'!D24</f>
        <v>0.007</v>
      </c>
      <c r="E24" s="117">
        <f>+'PMC 01'!E24</f>
        <v>0.003</v>
      </c>
      <c r="F24" s="117">
        <f>+'PMC 01'!F24</f>
        <v>0.005</v>
      </c>
      <c r="G24" s="117">
        <f>+'PMC 01'!G24</f>
        <v>0.01</v>
      </c>
      <c r="H24" s="5">
        <f>SUM(C24:G24)</f>
        <v>1</v>
      </c>
      <c r="J24" s="16" t="s">
        <v>156</v>
      </c>
      <c r="K24" s="16" t="s">
        <v>62</v>
      </c>
      <c r="L24" s="136">
        <f>+'PMC 01'!L24</f>
        <v>0.989</v>
      </c>
      <c r="M24" s="136">
        <f>+'PMC 01'!M24</f>
        <v>0.001</v>
      </c>
      <c r="N24" s="136">
        <f>+'PMC 01'!N24</f>
        <v>0.0025</v>
      </c>
      <c r="O24" s="136">
        <f>+'PMC 01'!O24</f>
        <v>0.0025</v>
      </c>
      <c r="P24" s="136">
        <f>+'PMC 01'!P24</f>
        <v>0.005</v>
      </c>
      <c r="Q24" s="5">
        <f>SUM(L24:P24)</f>
        <v>0.9999999999999999</v>
      </c>
    </row>
    <row r="25" spans="1:17" ht="12.75">
      <c r="A25" s="34" t="s">
        <v>105</v>
      </c>
      <c r="B25" s="34" t="s">
        <v>61</v>
      </c>
      <c r="C25" s="75">
        <f>+C17*C24</f>
        <v>3.353697341254831</v>
      </c>
      <c r="D25" s="75">
        <f>+D17*D24</f>
        <v>0.43127205512128264</v>
      </c>
      <c r="E25" s="75">
        <f>+E17*E24</f>
        <v>0.3244889230508951</v>
      </c>
      <c r="F25" s="75">
        <f>+F17*F24</f>
        <v>2.8853087102341592</v>
      </c>
      <c r="G25" s="75">
        <f>+G17*G24</f>
        <v>23.005</v>
      </c>
      <c r="H25" s="6">
        <f>SUM(C25:G25)</f>
        <v>29.999767029661164</v>
      </c>
      <c r="J25" s="34" t="s">
        <v>105</v>
      </c>
      <c r="K25" s="34" t="s">
        <v>61</v>
      </c>
      <c r="L25" s="7">
        <f>+L17*L24</f>
        <v>1.493700983954996</v>
      </c>
      <c r="M25" s="7">
        <f>+M17*M24</f>
        <v>0.03133650814567468</v>
      </c>
      <c r="N25" s="7">
        <f>+N17*N24</f>
        <v>0.15529827075550443</v>
      </c>
      <c r="O25" s="7">
        <f>+O17*O24</f>
        <v>0.8267189306548393</v>
      </c>
      <c r="P25" s="7">
        <f>+P17*P24</f>
        <v>9.46</v>
      </c>
      <c r="Q25" s="7">
        <f>SUM(L25:P25)</f>
        <v>11.967054693511015</v>
      </c>
    </row>
    <row r="26" spans="1:17" ht="12.75">
      <c r="A26" s="10" t="s">
        <v>145</v>
      </c>
      <c r="B26" s="16"/>
      <c r="C26" s="16"/>
      <c r="D26" s="40"/>
      <c r="E26" s="40"/>
      <c r="F26" s="40"/>
      <c r="G26" s="40"/>
      <c r="H26" s="11"/>
      <c r="J26" s="10" t="s">
        <v>145</v>
      </c>
      <c r="K26" s="16"/>
      <c r="L26" s="16"/>
      <c r="M26" s="10"/>
      <c r="N26" s="10"/>
      <c r="O26" s="10"/>
      <c r="P26" s="10"/>
      <c r="Q26" s="11"/>
    </row>
    <row r="27" spans="1:17" ht="12.75">
      <c r="A27" s="16" t="s">
        <v>156</v>
      </c>
      <c r="B27" s="16" t="s">
        <v>62</v>
      </c>
      <c r="C27" s="76">
        <f>100%-D27-E27-F27-G27</f>
        <v>0.9825</v>
      </c>
      <c r="D27" s="77">
        <f>+D24*(100%-$B19)</f>
        <v>0.0049</v>
      </c>
      <c r="E27" s="77">
        <f>+E24*(100%-$B19)</f>
        <v>0.0021</v>
      </c>
      <c r="F27" s="77">
        <f>+F24*(100%-$B19)</f>
        <v>0.0034999999999999996</v>
      </c>
      <c r="G27" s="77">
        <f>+G24*(100%-$B19)</f>
        <v>0.006999999999999999</v>
      </c>
      <c r="H27" s="5">
        <f>SUM(C27:G27)</f>
        <v>1</v>
      </c>
      <c r="J27" s="16" t="s">
        <v>156</v>
      </c>
      <c r="K27" s="16" t="s">
        <v>62</v>
      </c>
      <c r="L27" s="8">
        <f>100%-M27-N27-O27-P27</f>
        <v>0.9923</v>
      </c>
      <c r="M27" s="9">
        <f>+M24*(100%-$K19)</f>
        <v>0.0007</v>
      </c>
      <c r="N27" s="9">
        <f>+N24*(100%-$K19)</f>
        <v>0.0017499999999999998</v>
      </c>
      <c r="O27" s="9">
        <f>+O24*(100%-$K19)</f>
        <v>0.0017499999999999998</v>
      </c>
      <c r="P27" s="9">
        <f>+P24*(100%-$K19)</f>
        <v>0.0034999999999999996</v>
      </c>
      <c r="Q27" s="5">
        <f>SUM(L27:P27)</f>
        <v>1</v>
      </c>
    </row>
    <row r="28" spans="1:17" ht="12.75">
      <c r="A28" s="34" t="s">
        <v>106</v>
      </c>
      <c r="B28" s="34" t="s">
        <v>61</v>
      </c>
      <c r="C28" s="75">
        <f>+C27*C17</f>
        <v>3.3794950131106374</v>
      </c>
      <c r="D28" s="75">
        <f>+D27*D17</f>
        <v>0.30189043858489784</v>
      </c>
      <c r="E28" s="75">
        <f>+E27*E17</f>
        <v>0.22714224613562656</v>
      </c>
      <c r="F28" s="75">
        <f>+F27*F17</f>
        <v>2.019716097163911</v>
      </c>
      <c r="G28" s="75">
        <f>+G27*G17</f>
        <v>16.103499999999997</v>
      </c>
      <c r="H28" s="7">
        <f>SUM(C28:G28)</f>
        <v>22.03174379499507</v>
      </c>
      <c r="J28" s="34" t="s">
        <v>106</v>
      </c>
      <c r="K28" s="34" t="s">
        <v>61</v>
      </c>
      <c r="L28" s="7">
        <f>+L27*L17</f>
        <v>1.4986850216163219</v>
      </c>
      <c r="M28" s="7">
        <f>+M27*M17</f>
        <v>0.021935555701972274</v>
      </c>
      <c r="N28" s="7">
        <f>+N27*N17</f>
        <v>0.10870878952885307</v>
      </c>
      <c r="O28" s="7">
        <f>+O27*O17</f>
        <v>0.5787032514583874</v>
      </c>
      <c r="P28" s="7">
        <f>+P27*P17</f>
        <v>6.621999999999999</v>
      </c>
      <c r="Q28" s="7">
        <f>SUM(L28:P28)</f>
        <v>8.830032618305534</v>
      </c>
    </row>
    <row r="29" spans="1:17" ht="12.75">
      <c r="A29" s="12" t="s">
        <v>97</v>
      </c>
      <c r="B29" s="40"/>
      <c r="C29" s="40"/>
      <c r="D29" s="40"/>
      <c r="E29" s="40"/>
      <c r="F29" s="40"/>
      <c r="G29" s="40"/>
      <c r="H29" s="10"/>
      <c r="J29" s="12" t="s">
        <v>97</v>
      </c>
      <c r="K29" s="40"/>
      <c r="L29" s="10"/>
      <c r="M29" s="10"/>
      <c r="N29" s="10"/>
      <c r="O29" s="10"/>
      <c r="P29" s="10"/>
      <c r="Q29" s="10"/>
    </row>
    <row r="30" spans="1:17" ht="12.75">
      <c r="A30" s="16" t="s">
        <v>156</v>
      </c>
      <c r="B30" s="16" t="s">
        <v>62</v>
      </c>
      <c r="C30" s="76">
        <f>100%-D30-E30-F30-G30</f>
        <v>0.993</v>
      </c>
      <c r="D30" s="76">
        <f>+D27</f>
        <v>0.0049</v>
      </c>
      <c r="E30" s="76">
        <f>+E27</f>
        <v>0.0021</v>
      </c>
      <c r="F30" s="73">
        <v>0</v>
      </c>
      <c r="G30" s="73">
        <v>0</v>
      </c>
      <c r="H30" s="5">
        <f>SUM(C30:G30)</f>
        <v>1</v>
      </c>
      <c r="J30" s="16" t="s">
        <v>156</v>
      </c>
      <c r="K30" s="16" t="s">
        <v>62</v>
      </c>
      <c r="L30" s="8">
        <f>100%-M30-N30-O30-P30</f>
        <v>0.994925</v>
      </c>
      <c r="M30" s="8">
        <f>+M27</f>
        <v>0.0007</v>
      </c>
      <c r="N30" s="8">
        <f>+N27</f>
        <v>0.0017499999999999998</v>
      </c>
      <c r="O30" s="9">
        <f>(100%-$K20)*O27</f>
        <v>0.0008749999999999999</v>
      </c>
      <c r="P30" s="9">
        <f>(100%-$K20)*P27</f>
        <v>0.0017499999999999998</v>
      </c>
      <c r="Q30" s="5">
        <f>SUM(L30:P30)</f>
        <v>1</v>
      </c>
    </row>
    <row r="31" spans="1:17" ht="12.75">
      <c r="A31" s="34" t="s">
        <v>106</v>
      </c>
      <c r="B31" s="34" t="s">
        <v>61</v>
      </c>
      <c r="C31" s="75">
        <f>+C17*C30</f>
        <v>3.4156117537087662</v>
      </c>
      <c r="D31" s="75">
        <f>+D17*D30</f>
        <v>0.30189043858489784</v>
      </c>
      <c r="E31" s="75">
        <f>+E17*E30</f>
        <v>0.22714224613562656</v>
      </c>
      <c r="F31" s="75">
        <f>+F17*F30</f>
        <v>0</v>
      </c>
      <c r="G31" s="75">
        <f>+G17*G30</f>
        <v>0</v>
      </c>
      <c r="H31" s="7">
        <f>SUM(C31:G31)</f>
        <v>3.944644438429291</v>
      </c>
      <c r="J31" s="34" t="s">
        <v>106</v>
      </c>
      <c r="K31" s="34" t="s">
        <v>61</v>
      </c>
      <c r="L31" s="7">
        <f>+L17*L30</f>
        <v>1.5026495970287403</v>
      </c>
      <c r="M31" s="7">
        <f>+M17*M30</f>
        <v>0.021935555701972274</v>
      </c>
      <c r="N31" s="7">
        <f>+N17*N30</f>
        <v>0.10870878952885307</v>
      </c>
      <c r="O31" s="7">
        <f>+O17*O30</f>
        <v>0.2893516257291937</v>
      </c>
      <c r="P31" s="7">
        <f>+P17*P30</f>
        <v>3.3109999999999995</v>
      </c>
      <c r="Q31" s="7">
        <f>SUM(L31:P31)</f>
        <v>5.233645567988759</v>
      </c>
    </row>
    <row r="32" spans="1:17" ht="12.75">
      <c r="A32" s="14" t="s">
        <v>68</v>
      </c>
      <c r="B32" s="16"/>
      <c r="C32" s="16"/>
      <c r="D32" s="16"/>
      <c r="E32" s="16"/>
      <c r="F32" s="16"/>
      <c r="G32" s="97"/>
      <c r="H32" s="14"/>
      <c r="J32" s="14" t="s">
        <v>68</v>
      </c>
      <c r="K32" s="16"/>
      <c r="L32" s="16"/>
      <c r="M32" s="16"/>
      <c r="N32" s="16"/>
      <c r="O32" s="16"/>
      <c r="P32" s="97"/>
      <c r="Q32" s="16"/>
    </row>
    <row r="33" spans="1:17" ht="12.75">
      <c r="A33" s="16" t="s">
        <v>156</v>
      </c>
      <c r="B33" s="16" t="s">
        <v>62</v>
      </c>
      <c r="C33" s="41">
        <f>100%-SUM(D33:G33)</f>
        <v>0.98410875</v>
      </c>
      <c r="D33" s="43">
        <f>+D30*$B21</f>
        <v>0.005928999999999999</v>
      </c>
      <c r="E33" s="43">
        <f>+E30*$B21</f>
        <v>0.002541</v>
      </c>
      <c r="F33" s="42">
        <f>+F24/2*($E27+$D27+$C27)</f>
        <v>0.0024737500000000003</v>
      </c>
      <c r="G33" s="42">
        <f>+G24/2*($E27+$D27+$C27)</f>
        <v>0.0049475000000000005</v>
      </c>
      <c r="H33" s="5">
        <f>SUM(C33:G33)</f>
        <v>1</v>
      </c>
      <c r="J33" s="16" t="s">
        <v>156</v>
      </c>
      <c r="K33" s="16" t="s">
        <v>62</v>
      </c>
      <c r="L33" s="41">
        <f>100%-SUM(M33:P33)</f>
        <v>0.991973</v>
      </c>
      <c r="M33" s="43">
        <f>+M30*$K21</f>
        <v>0.000847</v>
      </c>
      <c r="N33" s="43">
        <f>+N30*$K21</f>
        <v>0.0021174999999999996</v>
      </c>
      <c r="O33" s="42">
        <f>+(-O30+O24)/2+O30</f>
        <v>0.0016875</v>
      </c>
      <c r="P33" s="42">
        <f>+(-P30+P24)/2+P30</f>
        <v>0.003375</v>
      </c>
      <c r="Q33" s="41">
        <f>SUM(L33:P33)</f>
        <v>1</v>
      </c>
    </row>
    <row r="34" spans="1:17" ht="12.75">
      <c r="A34" s="34" t="s">
        <v>106</v>
      </c>
      <c r="B34" s="34" t="s">
        <v>61</v>
      </c>
      <c r="C34" s="45">
        <f>+C33*C17</f>
        <v>3.3850286137237076</v>
      </c>
      <c r="D34" s="45">
        <f>+D33*D17</f>
        <v>0.36528743068772634</v>
      </c>
      <c r="E34" s="45">
        <f>+E33*E17</f>
        <v>0.27484211782410817</v>
      </c>
      <c r="F34" s="45">
        <f>+F33*F17</f>
        <v>1.4275064843883503</v>
      </c>
      <c r="G34" s="45">
        <f>+G33*G17</f>
        <v>11.38172375</v>
      </c>
      <c r="H34" s="13">
        <f>SUM(C34:G34)</f>
        <v>16.834388396623893</v>
      </c>
      <c r="J34" s="34" t="s">
        <v>106</v>
      </c>
      <c r="K34" s="34" t="s">
        <v>61</v>
      </c>
      <c r="L34" s="45">
        <f>+L33*L17</f>
        <v>1.4981911487935178</v>
      </c>
      <c r="M34" s="45">
        <f>+M33*M17</f>
        <v>0.026542022399386453</v>
      </c>
      <c r="N34" s="45">
        <f>+N33*N17</f>
        <v>0.13153763532991222</v>
      </c>
      <c r="O34" s="45">
        <f>+O33*O17</f>
        <v>0.5580352781920165</v>
      </c>
      <c r="P34" s="45">
        <f>+P33*P17</f>
        <v>6.3854999999999995</v>
      </c>
      <c r="Q34" s="45">
        <f>SUM(L34:P34)</f>
        <v>8.599806084714832</v>
      </c>
    </row>
    <row r="35" spans="1:17" ht="12.75">
      <c r="A35" s="14" t="s">
        <v>69</v>
      </c>
      <c r="B35" s="34"/>
      <c r="C35" s="70"/>
      <c r="D35" s="70"/>
      <c r="E35" s="70"/>
      <c r="F35" s="70"/>
      <c r="G35" s="70"/>
      <c r="H35" s="78"/>
      <c r="J35" s="14" t="s">
        <v>69</v>
      </c>
      <c r="K35" s="34"/>
      <c r="L35" s="70"/>
      <c r="M35" s="70"/>
      <c r="N35" s="70"/>
      <c r="O35" s="70"/>
      <c r="P35" s="70"/>
      <c r="Q35" s="70"/>
    </row>
    <row r="36" spans="1:17" ht="12.75">
      <c r="A36" s="16" t="s">
        <v>156</v>
      </c>
      <c r="B36" s="16" t="s">
        <v>62</v>
      </c>
      <c r="C36" s="41">
        <f>100%-SUM(D36:G36)</f>
        <v>0.9868667355371901</v>
      </c>
      <c r="D36" s="41">
        <f>+D30</f>
        <v>0.0049</v>
      </c>
      <c r="E36" s="41">
        <f>+E30</f>
        <v>0.0021</v>
      </c>
      <c r="F36" s="137">
        <f>+(E36/E33*F33)</f>
        <v>0.002044421487603306</v>
      </c>
      <c r="G36" s="42">
        <f>+(E36/E33)*G33</f>
        <v>0.004088842975206612</v>
      </c>
      <c r="H36" s="79">
        <f>SUM(C36:G36)</f>
        <v>1</v>
      </c>
      <c r="J36" s="16" t="s">
        <v>156</v>
      </c>
      <c r="K36" s="16" t="s">
        <v>62</v>
      </c>
      <c r="L36" s="41">
        <f>100%-SUM(M36:P36)</f>
        <v>0.9933661157024793</v>
      </c>
      <c r="M36" s="41">
        <f>+M30</f>
        <v>0.0007</v>
      </c>
      <c r="N36" s="41">
        <f>+N30</f>
        <v>0.0017499999999999998</v>
      </c>
      <c r="O36" s="137">
        <f>+(N36/N33*O33)</f>
        <v>0.0013946280991735537</v>
      </c>
      <c r="P36" s="42">
        <f>+(N36/N33)*P33</f>
        <v>0.0027892561983471073</v>
      </c>
      <c r="Q36" s="43">
        <f>SUM(L36:P36)</f>
        <v>1</v>
      </c>
    </row>
    <row r="37" spans="1:17" ht="12.75">
      <c r="A37" s="34" t="s">
        <v>106</v>
      </c>
      <c r="B37" s="34" t="s">
        <v>61</v>
      </c>
      <c r="C37" s="45">
        <f>+C36*C17</f>
        <v>3.3945152278399062</v>
      </c>
      <c r="D37" s="45">
        <f>+D36*D17</f>
        <v>0.30189043858489784</v>
      </c>
      <c r="E37" s="45">
        <f>+E36*E17</f>
        <v>0.22714224613562656</v>
      </c>
      <c r="F37" s="45">
        <f>+F36*F17</f>
        <v>1.1797574251143392</v>
      </c>
      <c r="G37" s="45">
        <f>+G36*G17</f>
        <v>9.40638326446281</v>
      </c>
      <c r="H37" s="13">
        <f>SUM(C37:G37)</f>
        <v>14.509688602137581</v>
      </c>
      <c r="J37" s="34" t="s">
        <v>106</v>
      </c>
      <c r="K37" s="34" t="s">
        <v>61</v>
      </c>
      <c r="L37" s="45">
        <f>+L36*L17</f>
        <v>1.5002951915595002</v>
      </c>
      <c r="M37" s="45">
        <f>+M36*M17</f>
        <v>0.021935555701972274</v>
      </c>
      <c r="N37" s="45">
        <f>+N36*N17</f>
        <v>0.10870878952885307</v>
      </c>
      <c r="O37" s="45">
        <f>+O36*O17</f>
        <v>0.46118618032398057</v>
      </c>
      <c r="P37" s="45">
        <f>+P36*P17</f>
        <v>5.277272727272727</v>
      </c>
      <c r="Q37" s="45">
        <f>SUM(L37:P37)</f>
        <v>7.369398444387033</v>
      </c>
    </row>
    <row r="38" spans="1:17" ht="12.75">
      <c r="A38" s="16"/>
      <c r="B38" s="16"/>
      <c r="C38" s="46"/>
      <c r="D38" s="47"/>
      <c r="E38" s="47"/>
      <c r="F38" s="47"/>
      <c r="G38" s="47"/>
      <c r="H38" s="80"/>
      <c r="J38" s="16"/>
      <c r="K38" s="16"/>
      <c r="L38" s="46"/>
      <c r="M38" s="47"/>
      <c r="N38" s="47"/>
      <c r="O38" s="47"/>
      <c r="P38" s="47"/>
      <c r="Q38" s="47"/>
    </row>
    <row r="39" spans="1:22" ht="51">
      <c r="A39" s="16"/>
      <c r="B39" s="16"/>
      <c r="C39" s="46"/>
      <c r="D39" s="46"/>
      <c r="E39" s="46"/>
      <c r="F39" s="46"/>
      <c r="G39" s="46"/>
      <c r="H39" s="81" t="s">
        <v>39</v>
      </c>
      <c r="J39" s="16"/>
      <c r="K39" s="16"/>
      <c r="L39" s="46"/>
      <c r="M39" s="46"/>
      <c r="N39" s="46"/>
      <c r="O39" s="46"/>
      <c r="P39" s="46"/>
      <c r="Q39" s="81" t="s">
        <v>39</v>
      </c>
      <c r="R39" s="25" t="s">
        <v>7</v>
      </c>
      <c r="S39" s="64" t="s">
        <v>141</v>
      </c>
      <c r="T39" s="64" t="s">
        <v>142</v>
      </c>
      <c r="U39" s="111" t="s">
        <v>143</v>
      </c>
      <c r="V39" s="111" t="s">
        <v>144</v>
      </c>
    </row>
    <row r="40" spans="1:22" ht="12.75">
      <c r="A40" s="16" t="s">
        <v>137</v>
      </c>
      <c r="B40" s="16">
        <v>0</v>
      </c>
      <c r="C40" s="41">
        <f>+C30</f>
        <v>0.993</v>
      </c>
      <c r="D40" s="41">
        <f>+D30</f>
        <v>0.0049</v>
      </c>
      <c r="E40" s="41">
        <f>+E30</f>
        <v>0.0021</v>
      </c>
      <c r="F40" s="41">
        <f>+F30</f>
        <v>0</v>
      </c>
      <c r="G40" s="41">
        <f>+G30</f>
        <v>0</v>
      </c>
      <c r="H40" s="13">
        <f>+C40*C$17+D40*D$17+E40*E$17+F40*F$17+G40*G$17</f>
        <v>3.944644438429291</v>
      </c>
      <c r="J40" s="16"/>
      <c r="K40" s="16"/>
      <c r="L40" s="41">
        <f>+L30</f>
        <v>0.994925</v>
      </c>
      <c r="M40" s="41">
        <f>+M30</f>
        <v>0.0007</v>
      </c>
      <c r="N40" s="41">
        <f>+N30</f>
        <v>0.0017499999999999998</v>
      </c>
      <c r="O40" s="41">
        <f>+O30</f>
        <v>0.0008749999999999999</v>
      </c>
      <c r="P40" s="41">
        <f>+P30</f>
        <v>0.0017499999999999998</v>
      </c>
      <c r="Q40" s="13">
        <f>+L40*L$17+M40*M$17+N40*N$17+O40*O$17+P40*P$17</f>
        <v>5.233645567988759</v>
      </c>
      <c r="R40" s="25">
        <v>0</v>
      </c>
      <c r="S40" s="112">
        <f aca="true" t="shared" si="2" ref="S40:S45">+H40</f>
        <v>3.944644438429291</v>
      </c>
      <c r="T40" s="112">
        <f aca="true" t="shared" si="3" ref="T40:T45">+H47</f>
        <v>3.944644438429291</v>
      </c>
      <c r="U40" s="112">
        <f aca="true" t="shared" si="4" ref="U40:U45">+H54</f>
        <v>3.944644438429291</v>
      </c>
      <c r="V40" s="112">
        <f aca="true" t="shared" si="5" ref="V40:V45">+H$62</f>
        <v>9.808341468905013</v>
      </c>
    </row>
    <row r="41" spans="1:22" ht="12.75">
      <c r="A41" s="16" t="s">
        <v>138</v>
      </c>
      <c r="B41" s="16">
        <v>1</v>
      </c>
      <c r="C41" s="41">
        <f aca="true" t="shared" si="6" ref="C41:G45">+(C$33-C$40)/5+C40</f>
        <v>0.99122175</v>
      </c>
      <c r="D41" s="41">
        <f t="shared" si="6"/>
        <v>0.0051058</v>
      </c>
      <c r="E41" s="41">
        <f t="shared" si="6"/>
        <v>0.0021882</v>
      </c>
      <c r="F41" s="41">
        <f t="shared" si="6"/>
        <v>0.0004947500000000001</v>
      </c>
      <c r="G41" s="41">
        <f t="shared" si="6"/>
        <v>0.0009895000000000001</v>
      </c>
      <c r="H41" s="13">
        <f aca="true" t="shared" si="7" ref="H41:H59">+C41*C$17+D41*D$17+E41*E$17+F41*F$17+G41*G$17</f>
        <v>6.522593230068212</v>
      </c>
      <c r="J41" s="16"/>
      <c r="K41" s="16"/>
      <c r="L41" s="41">
        <f aca="true" t="shared" si="8" ref="L41:P45">+(L$33-L$40)/5+L40</f>
        <v>0.9943346</v>
      </c>
      <c r="M41" s="41">
        <f t="shared" si="8"/>
        <v>0.0007294</v>
      </c>
      <c r="N41" s="41">
        <f t="shared" si="8"/>
        <v>0.0018234999999999998</v>
      </c>
      <c r="O41" s="41">
        <f t="shared" si="8"/>
        <v>0.0010375</v>
      </c>
      <c r="P41" s="41">
        <f t="shared" si="8"/>
        <v>0.002075</v>
      </c>
      <c r="Q41" s="13">
        <f aca="true" t="shared" si="9" ref="Q41:Q59">+L41*L$17+M41*M$17+N41*N$17+O41*O$17+P41*P$17</f>
        <v>5.906877671333974</v>
      </c>
      <c r="R41" s="25">
        <v>1</v>
      </c>
      <c r="S41" s="112">
        <f t="shared" si="2"/>
        <v>6.522593230068212</v>
      </c>
      <c r="T41" s="112">
        <f t="shared" si="3"/>
        <v>6.057653271170949</v>
      </c>
      <c r="U41" s="112">
        <f t="shared" si="4"/>
        <v>6.29012325061958</v>
      </c>
      <c r="V41" s="112">
        <f t="shared" si="5"/>
        <v>9.808341468905013</v>
      </c>
    </row>
    <row r="42" spans="1:22" ht="12.75">
      <c r="A42" s="16"/>
      <c r="B42" s="16">
        <v>2</v>
      </c>
      <c r="C42" s="41">
        <f t="shared" si="6"/>
        <v>0.9894435</v>
      </c>
      <c r="D42" s="41">
        <f t="shared" si="6"/>
        <v>0.0053116</v>
      </c>
      <c r="E42" s="41">
        <f t="shared" si="6"/>
        <v>0.0022764</v>
      </c>
      <c r="F42" s="41">
        <f t="shared" si="6"/>
        <v>0.0009895000000000001</v>
      </c>
      <c r="G42" s="41">
        <f t="shared" si="6"/>
        <v>0.0019790000000000003</v>
      </c>
      <c r="H42" s="13">
        <f t="shared" si="7"/>
        <v>9.100542021707131</v>
      </c>
      <c r="J42" s="16"/>
      <c r="K42" s="16"/>
      <c r="L42" s="41">
        <f t="shared" si="8"/>
        <v>0.9937442</v>
      </c>
      <c r="M42" s="41">
        <f t="shared" si="8"/>
        <v>0.0007587999999999999</v>
      </c>
      <c r="N42" s="41">
        <f t="shared" si="8"/>
        <v>0.0018969999999999998</v>
      </c>
      <c r="O42" s="41">
        <f t="shared" si="8"/>
        <v>0.0012000000000000001</v>
      </c>
      <c r="P42" s="41">
        <f t="shared" si="8"/>
        <v>0.0024000000000000002</v>
      </c>
      <c r="Q42" s="13">
        <f t="shared" si="9"/>
        <v>6.58010977467919</v>
      </c>
      <c r="R42" s="25">
        <v>2</v>
      </c>
      <c r="S42" s="112">
        <f t="shared" si="2"/>
        <v>9.100542021707131</v>
      </c>
      <c r="T42" s="112">
        <f t="shared" si="3"/>
        <v>8.170662103912607</v>
      </c>
      <c r="U42" s="112">
        <f t="shared" si="4"/>
        <v>8.63560206280987</v>
      </c>
      <c r="V42" s="112">
        <f t="shared" si="5"/>
        <v>9.808341468905013</v>
      </c>
    </row>
    <row r="43" spans="1:22" ht="12.75">
      <c r="A43" s="16"/>
      <c r="B43" s="16">
        <v>3</v>
      </c>
      <c r="C43" s="41">
        <f t="shared" si="6"/>
        <v>0.98766525</v>
      </c>
      <c r="D43" s="41">
        <f t="shared" si="6"/>
        <v>0.0055173999999999996</v>
      </c>
      <c r="E43" s="41">
        <f t="shared" si="6"/>
        <v>0.0023646</v>
      </c>
      <c r="F43" s="41">
        <f t="shared" si="6"/>
        <v>0.0014842500000000003</v>
      </c>
      <c r="G43" s="41">
        <f t="shared" si="6"/>
        <v>0.0029685000000000007</v>
      </c>
      <c r="H43" s="13">
        <f t="shared" si="7"/>
        <v>11.678490813346052</v>
      </c>
      <c r="J43" s="16"/>
      <c r="K43" s="16"/>
      <c r="L43" s="41">
        <f t="shared" si="8"/>
        <v>0.9931538</v>
      </c>
      <c r="M43" s="41">
        <f t="shared" si="8"/>
        <v>0.0007881999999999999</v>
      </c>
      <c r="N43" s="41">
        <f t="shared" si="8"/>
        <v>0.0019704999999999996</v>
      </c>
      <c r="O43" s="41">
        <f t="shared" si="8"/>
        <v>0.0013625000000000002</v>
      </c>
      <c r="P43" s="41">
        <f t="shared" si="8"/>
        <v>0.0027250000000000004</v>
      </c>
      <c r="Q43" s="13">
        <f t="shared" si="9"/>
        <v>7.253341878024404</v>
      </c>
      <c r="R43" s="25">
        <v>3</v>
      </c>
      <c r="S43" s="112">
        <f t="shared" si="2"/>
        <v>11.678490813346052</v>
      </c>
      <c r="T43" s="112">
        <f t="shared" si="3"/>
        <v>10.283670936654264</v>
      </c>
      <c r="U43" s="112">
        <f t="shared" si="4"/>
        <v>10.98108087500016</v>
      </c>
      <c r="V43" s="112">
        <f t="shared" si="5"/>
        <v>9.808341468905013</v>
      </c>
    </row>
    <row r="44" spans="1:22" ht="12.75">
      <c r="A44" s="16"/>
      <c r="B44" s="16">
        <v>4</v>
      </c>
      <c r="C44" s="41">
        <f t="shared" si="6"/>
        <v>0.9858870000000001</v>
      </c>
      <c r="D44" s="41">
        <f t="shared" si="6"/>
        <v>0.0057231999999999995</v>
      </c>
      <c r="E44" s="41">
        <f t="shared" si="6"/>
        <v>0.0024528</v>
      </c>
      <c r="F44" s="41">
        <f t="shared" si="6"/>
        <v>0.0019790000000000003</v>
      </c>
      <c r="G44" s="41">
        <f t="shared" si="6"/>
        <v>0.003958000000000001</v>
      </c>
      <c r="H44" s="13">
        <f t="shared" si="7"/>
        <v>14.256439604984973</v>
      </c>
      <c r="J44" s="16"/>
      <c r="K44" s="16"/>
      <c r="L44" s="41">
        <f t="shared" si="8"/>
        <v>0.9925634</v>
      </c>
      <c r="M44" s="41">
        <f t="shared" si="8"/>
        <v>0.0008175999999999998</v>
      </c>
      <c r="N44" s="41">
        <f t="shared" si="8"/>
        <v>0.0020439999999999994</v>
      </c>
      <c r="O44" s="41">
        <f t="shared" si="8"/>
        <v>0.0015250000000000003</v>
      </c>
      <c r="P44" s="41">
        <f t="shared" si="8"/>
        <v>0.0030500000000000006</v>
      </c>
      <c r="Q44" s="13">
        <f t="shared" si="9"/>
        <v>7.92657398136962</v>
      </c>
      <c r="R44" s="25">
        <v>4</v>
      </c>
      <c r="S44" s="112">
        <f t="shared" si="2"/>
        <v>14.256439604984973</v>
      </c>
      <c r="T44" s="112">
        <f t="shared" si="3"/>
        <v>12.396679769395924</v>
      </c>
      <c r="U44" s="112">
        <f t="shared" si="4"/>
        <v>13.326559687190448</v>
      </c>
      <c r="V44" s="112">
        <f t="shared" si="5"/>
        <v>9.808341468905013</v>
      </c>
    </row>
    <row r="45" spans="1:22" ht="12.75">
      <c r="A45" s="16"/>
      <c r="B45" s="16">
        <v>5</v>
      </c>
      <c r="C45" s="41">
        <f t="shared" si="6"/>
        <v>0.9841087500000001</v>
      </c>
      <c r="D45" s="41">
        <f t="shared" si="6"/>
        <v>0.005928999999999999</v>
      </c>
      <c r="E45" s="41">
        <f t="shared" si="6"/>
        <v>0.0025410000000000003</v>
      </c>
      <c r="F45" s="41">
        <f t="shared" si="6"/>
        <v>0.0024737500000000003</v>
      </c>
      <c r="G45" s="41">
        <f t="shared" si="6"/>
        <v>0.0049475000000000005</v>
      </c>
      <c r="H45" s="13">
        <f t="shared" si="7"/>
        <v>16.834388396623893</v>
      </c>
      <c r="J45" s="16"/>
      <c r="K45" s="16"/>
      <c r="L45" s="41">
        <f t="shared" si="8"/>
        <v>0.991973</v>
      </c>
      <c r="M45" s="41">
        <f t="shared" si="8"/>
        <v>0.0008469999999999998</v>
      </c>
      <c r="N45" s="41">
        <f t="shared" si="8"/>
        <v>0.002117499999999999</v>
      </c>
      <c r="O45" s="41">
        <f t="shared" si="8"/>
        <v>0.0016875000000000004</v>
      </c>
      <c r="P45" s="41">
        <f t="shared" si="8"/>
        <v>0.003375000000000001</v>
      </c>
      <c r="Q45" s="13">
        <f t="shared" si="9"/>
        <v>8.599806084714835</v>
      </c>
      <c r="R45" s="25">
        <v>5</v>
      </c>
      <c r="S45" s="112">
        <f t="shared" si="2"/>
        <v>16.834388396623893</v>
      </c>
      <c r="T45" s="112">
        <f t="shared" si="3"/>
        <v>14.509688602137581</v>
      </c>
      <c r="U45" s="112">
        <f t="shared" si="4"/>
        <v>15.672038499380738</v>
      </c>
      <c r="V45" s="112">
        <f t="shared" si="5"/>
        <v>9.808341468905013</v>
      </c>
    </row>
    <row r="46" spans="1:17" ht="12.75">
      <c r="A46" s="16"/>
      <c r="B46" s="16"/>
      <c r="C46" s="48"/>
      <c r="D46" s="48"/>
      <c r="E46" s="48"/>
      <c r="F46" s="48"/>
      <c r="G46" s="48"/>
      <c r="H46" s="48"/>
      <c r="J46" s="16"/>
      <c r="K46" s="16"/>
      <c r="L46" s="48"/>
      <c r="M46" s="48"/>
      <c r="N46" s="48"/>
      <c r="O46" s="48"/>
      <c r="P46" s="48"/>
      <c r="Q46" s="48"/>
    </row>
    <row r="47" spans="1:22" ht="51">
      <c r="A47" s="16" t="s">
        <v>139</v>
      </c>
      <c r="B47" s="16">
        <v>0</v>
      </c>
      <c r="C47" s="41">
        <f>+C30</f>
        <v>0.993</v>
      </c>
      <c r="D47" s="41">
        <f>+D30</f>
        <v>0.0049</v>
      </c>
      <c r="E47" s="41">
        <f>+E30</f>
        <v>0.0021</v>
      </c>
      <c r="F47" s="41">
        <f>+F30</f>
        <v>0</v>
      </c>
      <c r="G47" s="41">
        <f>+G30</f>
        <v>0</v>
      </c>
      <c r="H47" s="13">
        <f t="shared" si="7"/>
        <v>3.944644438429291</v>
      </c>
      <c r="J47" s="16"/>
      <c r="K47" s="16"/>
      <c r="L47" s="41">
        <f>+L30</f>
        <v>0.994925</v>
      </c>
      <c r="M47" s="41">
        <f>+M30</f>
        <v>0.0007</v>
      </c>
      <c r="N47" s="41">
        <f>+N30</f>
        <v>0.0017499999999999998</v>
      </c>
      <c r="O47" s="41">
        <f>+O30</f>
        <v>0.0008749999999999999</v>
      </c>
      <c r="P47" s="41">
        <f>+P30</f>
        <v>0.0017499999999999998</v>
      </c>
      <c r="Q47" s="13">
        <f t="shared" si="9"/>
        <v>5.233645567988759</v>
      </c>
      <c r="R47" s="25" t="s">
        <v>8</v>
      </c>
      <c r="S47" s="64" t="s">
        <v>141</v>
      </c>
      <c r="T47" s="64" t="s">
        <v>142</v>
      </c>
      <c r="U47" s="111" t="s">
        <v>143</v>
      </c>
      <c r="V47" s="111" t="s">
        <v>144</v>
      </c>
    </row>
    <row r="48" spans="1:22" ht="12.75">
      <c r="A48" s="16"/>
      <c r="B48" s="16">
        <v>1</v>
      </c>
      <c r="C48" s="41">
        <f aca="true" t="shared" si="10" ref="C48:G52">+(C$36-C$47)/5+C47</f>
        <v>0.991773347107438</v>
      </c>
      <c r="D48" s="41">
        <f t="shared" si="10"/>
        <v>0.0049</v>
      </c>
      <c r="E48" s="41">
        <f t="shared" si="10"/>
        <v>0.0021</v>
      </c>
      <c r="F48" s="41">
        <f t="shared" si="10"/>
        <v>0.0004088842975206612</v>
      </c>
      <c r="G48" s="41">
        <f t="shared" si="10"/>
        <v>0.0008177685950413224</v>
      </c>
      <c r="H48" s="13">
        <f t="shared" si="7"/>
        <v>6.057653271170949</v>
      </c>
      <c r="J48" s="16"/>
      <c r="K48" s="16"/>
      <c r="L48" s="41">
        <f aca="true" t="shared" si="11" ref="L48:P52">+(L$36-L$47)/5+L47</f>
        <v>0.9946132231404958</v>
      </c>
      <c r="M48" s="41">
        <f t="shared" si="11"/>
        <v>0.0007</v>
      </c>
      <c r="N48" s="41">
        <f t="shared" si="11"/>
        <v>0.0017499999999999998</v>
      </c>
      <c r="O48" s="41">
        <f t="shared" si="11"/>
        <v>0.0009789256198347107</v>
      </c>
      <c r="P48" s="41">
        <f t="shared" si="11"/>
        <v>0.0019578512396694215</v>
      </c>
      <c r="Q48" s="13">
        <f t="shared" si="9"/>
        <v>5.660796143268414</v>
      </c>
      <c r="R48" s="25">
        <v>0</v>
      </c>
      <c r="S48" s="112">
        <f aca="true" t="shared" si="12" ref="S48:S53">+Q40</f>
        <v>5.233645567988759</v>
      </c>
      <c r="T48" s="112">
        <f aca="true" t="shared" si="13" ref="T48:T53">+Q47</f>
        <v>5.233645567988759</v>
      </c>
      <c r="U48" s="112">
        <f aca="true" t="shared" si="14" ref="U48:U53">+Q54</f>
        <v>5.233645567988759</v>
      </c>
      <c r="V48" s="112">
        <f aca="true" t="shared" si="15" ref="V48:V53">+Q$62</f>
        <v>6.609123916269848</v>
      </c>
    </row>
    <row r="49" spans="1:22" ht="12.75">
      <c r="A49" s="16"/>
      <c r="B49" s="16">
        <v>2</v>
      </c>
      <c r="C49" s="41">
        <f t="shared" si="10"/>
        <v>0.9905466942148761</v>
      </c>
      <c r="D49" s="41">
        <f t="shared" si="10"/>
        <v>0.0049</v>
      </c>
      <c r="E49" s="41">
        <f t="shared" si="10"/>
        <v>0.0021</v>
      </c>
      <c r="F49" s="41">
        <f t="shared" si="10"/>
        <v>0.0008177685950413224</v>
      </c>
      <c r="G49" s="41">
        <f t="shared" si="10"/>
        <v>0.0016355371900826448</v>
      </c>
      <c r="H49" s="13">
        <f t="shared" si="7"/>
        <v>8.170662103912607</v>
      </c>
      <c r="J49" s="16"/>
      <c r="K49" s="16"/>
      <c r="L49" s="41">
        <f t="shared" si="11"/>
        <v>0.9943014462809917</v>
      </c>
      <c r="M49" s="41">
        <f t="shared" si="11"/>
        <v>0.0007</v>
      </c>
      <c r="N49" s="41">
        <f t="shared" si="11"/>
        <v>0.0017499999999999998</v>
      </c>
      <c r="O49" s="41">
        <f t="shared" si="11"/>
        <v>0.0010828512396694216</v>
      </c>
      <c r="P49" s="41">
        <f t="shared" si="11"/>
        <v>0.002165702479338843</v>
      </c>
      <c r="Q49" s="13">
        <f t="shared" si="9"/>
        <v>6.08794671854807</v>
      </c>
      <c r="R49" s="25">
        <v>1</v>
      </c>
      <c r="S49" s="112">
        <f t="shared" si="12"/>
        <v>5.906877671333974</v>
      </c>
      <c r="T49" s="112">
        <f t="shared" si="13"/>
        <v>5.660796143268414</v>
      </c>
      <c r="U49" s="112">
        <f t="shared" si="14"/>
        <v>5.783836907301195</v>
      </c>
      <c r="V49" s="112">
        <f t="shared" si="15"/>
        <v>6.609123916269848</v>
      </c>
    </row>
    <row r="50" spans="1:22" ht="12.75">
      <c r="A50" s="16"/>
      <c r="B50" s="16">
        <v>3</v>
      </c>
      <c r="C50" s="41">
        <f t="shared" si="10"/>
        <v>0.9893200413223141</v>
      </c>
      <c r="D50" s="41">
        <f t="shared" si="10"/>
        <v>0.0049</v>
      </c>
      <c r="E50" s="41">
        <f t="shared" si="10"/>
        <v>0.0021</v>
      </c>
      <c r="F50" s="41">
        <f t="shared" si="10"/>
        <v>0.0012266528925619835</v>
      </c>
      <c r="G50" s="41">
        <f t="shared" si="10"/>
        <v>0.002453305785123967</v>
      </c>
      <c r="H50" s="13">
        <f t="shared" si="7"/>
        <v>10.283670936654264</v>
      </c>
      <c r="J50" s="16"/>
      <c r="K50" s="16"/>
      <c r="L50" s="41">
        <f t="shared" si="11"/>
        <v>0.9939896694214876</v>
      </c>
      <c r="M50" s="41">
        <f t="shared" si="11"/>
        <v>0.0007</v>
      </c>
      <c r="N50" s="41">
        <f t="shared" si="11"/>
        <v>0.0017499999999999998</v>
      </c>
      <c r="O50" s="41">
        <f t="shared" si="11"/>
        <v>0.0011867768595041324</v>
      </c>
      <c r="P50" s="41">
        <f t="shared" si="11"/>
        <v>0.002373553719008265</v>
      </c>
      <c r="Q50" s="13">
        <f t="shared" si="9"/>
        <v>6.515097293827724</v>
      </c>
      <c r="R50" s="25">
        <v>2</v>
      </c>
      <c r="S50" s="112">
        <f t="shared" si="12"/>
        <v>6.58010977467919</v>
      </c>
      <c r="T50" s="112">
        <f t="shared" si="13"/>
        <v>6.08794671854807</v>
      </c>
      <c r="U50" s="112">
        <f t="shared" si="14"/>
        <v>6.334028246613629</v>
      </c>
      <c r="V50" s="112">
        <f t="shared" si="15"/>
        <v>6.609123916269848</v>
      </c>
    </row>
    <row r="51" spans="1:22" ht="12.75">
      <c r="A51" s="16"/>
      <c r="B51" s="16">
        <v>4</v>
      </c>
      <c r="C51" s="41">
        <f t="shared" si="10"/>
        <v>0.9880933884297521</v>
      </c>
      <c r="D51" s="41">
        <f t="shared" si="10"/>
        <v>0.0049</v>
      </c>
      <c r="E51" s="41">
        <f t="shared" si="10"/>
        <v>0.0021</v>
      </c>
      <c r="F51" s="41">
        <f t="shared" si="10"/>
        <v>0.0016355371900826448</v>
      </c>
      <c r="G51" s="41">
        <f t="shared" si="10"/>
        <v>0.0032710743801652896</v>
      </c>
      <c r="H51" s="13">
        <f t="shared" si="7"/>
        <v>12.396679769395924</v>
      </c>
      <c r="J51" s="16"/>
      <c r="K51" s="16"/>
      <c r="L51" s="41">
        <f t="shared" si="11"/>
        <v>0.9936778925619835</v>
      </c>
      <c r="M51" s="41">
        <f t="shared" si="11"/>
        <v>0.0007</v>
      </c>
      <c r="N51" s="41">
        <f t="shared" si="11"/>
        <v>0.0017499999999999998</v>
      </c>
      <c r="O51" s="41">
        <f t="shared" si="11"/>
        <v>0.0012907024793388433</v>
      </c>
      <c r="P51" s="41">
        <f t="shared" si="11"/>
        <v>0.0025814049586776865</v>
      </c>
      <c r="Q51" s="13">
        <f t="shared" si="9"/>
        <v>6.94224786910738</v>
      </c>
      <c r="R51" s="25">
        <v>3</v>
      </c>
      <c r="S51" s="112">
        <f t="shared" si="12"/>
        <v>7.253341878024404</v>
      </c>
      <c r="T51" s="112">
        <f t="shared" si="13"/>
        <v>6.515097293827724</v>
      </c>
      <c r="U51" s="112">
        <f t="shared" si="14"/>
        <v>6.884219585926064</v>
      </c>
      <c r="V51" s="112">
        <f t="shared" si="15"/>
        <v>6.609123916269848</v>
      </c>
    </row>
    <row r="52" spans="1:22" ht="12.75">
      <c r="A52" s="16"/>
      <c r="B52" s="16">
        <v>5</v>
      </c>
      <c r="C52" s="41">
        <f t="shared" si="10"/>
        <v>0.9868667355371902</v>
      </c>
      <c r="D52" s="41">
        <f t="shared" si="10"/>
        <v>0.0049</v>
      </c>
      <c r="E52" s="41">
        <f t="shared" si="10"/>
        <v>0.0021</v>
      </c>
      <c r="F52" s="41">
        <f t="shared" si="10"/>
        <v>0.002044421487603306</v>
      </c>
      <c r="G52" s="41">
        <f t="shared" si="10"/>
        <v>0.004088842975206612</v>
      </c>
      <c r="H52" s="13">
        <f t="shared" si="7"/>
        <v>14.509688602137581</v>
      </c>
      <c r="J52" s="16"/>
      <c r="K52" s="16"/>
      <c r="L52" s="41">
        <f t="shared" si="11"/>
        <v>0.9933661157024793</v>
      </c>
      <c r="M52" s="41">
        <f t="shared" si="11"/>
        <v>0.0007</v>
      </c>
      <c r="N52" s="41">
        <f t="shared" si="11"/>
        <v>0.0017499999999999998</v>
      </c>
      <c r="O52" s="41">
        <f t="shared" si="11"/>
        <v>0.001394628099173554</v>
      </c>
      <c r="P52" s="41">
        <f t="shared" si="11"/>
        <v>0.002789256198347108</v>
      </c>
      <c r="Q52" s="13">
        <f t="shared" si="9"/>
        <v>7.369398444387035</v>
      </c>
      <c r="R52" s="25">
        <v>4</v>
      </c>
      <c r="S52" s="112">
        <f t="shared" si="12"/>
        <v>7.92657398136962</v>
      </c>
      <c r="T52" s="112">
        <f t="shared" si="13"/>
        <v>6.94224786910738</v>
      </c>
      <c r="U52" s="112">
        <f t="shared" si="14"/>
        <v>7.434410925238501</v>
      </c>
      <c r="V52" s="112">
        <f t="shared" si="15"/>
        <v>6.609123916269848</v>
      </c>
    </row>
    <row r="53" spans="1:22" ht="12.75">
      <c r="A53" s="16"/>
      <c r="B53" s="16"/>
      <c r="C53" s="48"/>
      <c r="D53" s="48"/>
      <c r="E53" s="48"/>
      <c r="F53" s="48"/>
      <c r="G53" s="48"/>
      <c r="H53" s="48"/>
      <c r="J53" s="16"/>
      <c r="K53" s="16"/>
      <c r="L53" s="48"/>
      <c r="M53" s="48"/>
      <c r="N53" s="48"/>
      <c r="O53" s="48"/>
      <c r="P53" s="48"/>
      <c r="Q53" s="48"/>
      <c r="R53" s="25">
        <v>5</v>
      </c>
      <c r="S53" s="112">
        <f t="shared" si="12"/>
        <v>8.599806084714835</v>
      </c>
      <c r="T53" s="112">
        <f t="shared" si="13"/>
        <v>7.369398444387035</v>
      </c>
      <c r="U53" s="112">
        <f t="shared" si="14"/>
        <v>7.984602264550936</v>
      </c>
      <c r="V53" s="112">
        <f t="shared" si="15"/>
        <v>6.609123916269848</v>
      </c>
    </row>
    <row r="54" spans="1:17" ht="12.75">
      <c r="A54" s="16" t="s">
        <v>140</v>
      </c>
      <c r="B54" s="16">
        <v>0</v>
      </c>
      <c r="C54" s="43">
        <f>+(C40+C47)/2</f>
        <v>0.993</v>
      </c>
      <c r="D54" s="43">
        <f>+(D40+D47)/2</f>
        <v>0.0049</v>
      </c>
      <c r="E54" s="43">
        <f>+(E40+E47)/2</f>
        <v>0.0021</v>
      </c>
      <c r="F54" s="43">
        <f>+(F40+F47)/2</f>
        <v>0</v>
      </c>
      <c r="G54" s="43">
        <f>+(G40+G47)/2</f>
        <v>0</v>
      </c>
      <c r="H54" s="13">
        <f t="shared" si="7"/>
        <v>3.944644438429291</v>
      </c>
      <c r="J54" s="16"/>
      <c r="K54" s="16"/>
      <c r="L54" s="43">
        <f aca="true" t="shared" si="16" ref="L54:P59">+(L40+L47)/2</f>
        <v>0.994925</v>
      </c>
      <c r="M54" s="43">
        <f t="shared" si="16"/>
        <v>0.0007</v>
      </c>
      <c r="N54" s="43">
        <f t="shared" si="16"/>
        <v>0.0017499999999999998</v>
      </c>
      <c r="O54" s="43">
        <f t="shared" si="16"/>
        <v>0.0008749999999999999</v>
      </c>
      <c r="P54" s="43">
        <f t="shared" si="16"/>
        <v>0.0017499999999999998</v>
      </c>
      <c r="Q54" s="13">
        <f t="shared" si="9"/>
        <v>5.233645567988759</v>
      </c>
    </row>
    <row r="55" spans="1:17" ht="12.75">
      <c r="A55" s="16"/>
      <c r="B55" s="16">
        <v>1</v>
      </c>
      <c r="C55" s="43">
        <f aca="true" t="shared" si="17" ref="C55:G59">+(C41+C48)/2</f>
        <v>0.991497548553719</v>
      </c>
      <c r="D55" s="43">
        <f t="shared" si="17"/>
        <v>0.005002899999999999</v>
      </c>
      <c r="E55" s="43">
        <f t="shared" si="17"/>
        <v>0.0021441</v>
      </c>
      <c r="F55" s="43">
        <f t="shared" si="17"/>
        <v>0.00045181714876033063</v>
      </c>
      <c r="G55" s="43">
        <f t="shared" si="17"/>
        <v>0.0009036342975206613</v>
      </c>
      <c r="H55" s="13">
        <f t="shared" si="7"/>
        <v>6.29012325061958</v>
      </c>
      <c r="J55" s="16"/>
      <c r="K55" s="16"/>
      <c r="L55" s="43">
        <f t="shared" si="16"/>
        <v>0.9944739115702479</v>
      </c>
      <c r="M55" s="43">
        <f t="shared" si="16"/>
        <v>0.0007147</v>
      </c>
      <c r="N55" s="43">
        <f t="shared" si="16"/>
        <v>0.0017867499999999997</v>
      </c>
      <c r="O55" s="43">
        <f t="shared" si="16"/>
        <v>0.0010082128099173555</v>
      </c>
      <c r="P55" s="43">
        <f t="shared" si="16"/>
        <v>0.002016425619834711</v>
      </c>
      <c r="Q55" s="13">
        <f t="shared" si="9"/>
        <v>5.783836907301195</v>
      </c>
    </row>
    <row r="56" spans="1:17" ht="12.75">
      <c r="A56" s="16"/>
      <c r="B56" s="16">
        <v>2</v>
      </c>
      <c r="C56" s="43">
        <f t="shared" si="17"/>
        <v>0.989995097107438</v>
      </c>
      <c r="D56" s="43">
        <f t="shared" si="17"/>
        <v>0.0051058</v>
      </c>
      <c r="E56" s="43">
        <f t="shared" si="17"/>
        <v>0.0021882</v>
      </c>
      <c r="F56" s="43">
        <f t="shared" si="17"/>
        <v>0.0009036342975206613</v>
      </c>
      <c r="G56" s="43">
        <f t="shared" si="17"/>
        <v>0.0018072685950413225</v>
      </c>
      <c r="H56" s="13">
        <f t="shared" si="7"/>
        <v>8.63560206280987</v>
      </c>
      <c r="J56" s="16"/>
      <c r="K56" s="16"/>
      <c r="L56" s="43">
        <f t="shared" si="16"/>
        <v>0.9940228231404958</v>
      </c>
      <c r="M56" s="43">
        <f t="shared" si="16"/>
        <v>0.0007294</v>
      </c>
      <c r="N56" s="43">
        <f t="shared" si="16"/>
        <v>0.0018234999999999998</v>
      </c>
      <c r="O56" s="43">
        <f t="shared" si="16"/>
        <v>0.0011414256198347108</v>
      </c>
      <c r="P56" s="43">
        <f t="shared" si="16"/>
        <v>0.0022828512396694217</v>
      </c>
      <c r="Q56" s="13">
        <f t="shared" si="9"/>
        <v>6.334028246613629</v>
      </c>
    </row>
    <row r="57" spans="1:17" ht="12.75">
      <c r="A57" s="16"/>
      <c r="B57" s="16">
        <v>3</v>
      </c>
      <c r="C57" s="43">
        <f t="shared" si="17"/>
        <v>0.9884926456611571</v>
      </c>
      <c r="D57" s="43">
        <f t="shared" si="17"/>
        <v>0.0052087</v>
      </c>
      <c r="E57" s="43">
        <f t="shared" si="17"/>
        <v>0.0022323</v>
      </c>
      <c r="F57" s="43">
        <f t="shared" si="17"/>
        <v>0.001355451446280992</v>
      </c>
      <c r="G57" s="43">
        <f t="shared" si="17"/>
        <v>0.002710902892561984</v>
      </c>
      <c r="H57" s="13">
        <f t="shared" si="7"/>
        <v>10.98108087500016</v>
      </c>
      <c r="J57" s="16"/>
      <c r="K57" s="16"/>
      <c r="L57" s="43">
        <f t="shared" si="16"/>
        <v>0.9935717347107438</v>
      </c>
      <c r="M57" s="43">
        <f t="shared" si="16"/>
        <v>0.0007440999999999999</v>
      </c>
      <c r="N57" s="43">
        <f t="shared" si="16"/>
        <v>0.0018602499999999997</v>
      </c>
      <c r="O57" s="43">
        <f t="shared" si="16"/>
        <v>0.0012746384297520662</v>
      </c>
      <c r="P57" s="43">
        <f t="shared" si="16"/>
        <v>0.0025492768595041324</v>
      </c>
      <c r="Q57" s="13">
        <f t="shared" si="9"/>
        <v>6.884219585926064</v>
      </c>
    </row>
    <row r="58" spans="1:17" ht="12.75">
      <c r="A58" s="16"/>
      <c r="B58" s="16">
        <v>4</v>
      </c>
      <c r="C58" s="43">
        <f t="shared" si="17"/>
        <v>0.9869901942148761</v>
      </c>
      <c r="D58" s="43">
        <f t="shared" si="17"/>
        <v>0.0053116</v>
      </c>
      <c r="E58" s="43">
        <f t="shared" si="17"/>
        <v>0.0022764</v>
      </c>
      <c r="F58" s="43">
        <f t="shared" si="17"/>
        <v>0.0018072685950413225</v>
      </c>
      <c r="G58" s="43">
        <f t="shared" si="17"/>
        <v>0.003614537190082645</v>
      </c>
      <c r="H58" s="13">
        <f t="shared" si="7"/>
        <v>13.326559687190448</v>
      </c>
      <c r="J58" s="16"/>
      <c r="K58" s="16"/>
      <c r="L58" s="43">
        <f t="shared" si="16"/>
        <v>0.9931206462809917</v>
      </c>
      <c r="M58" s="43">
        <f t="shared" si="16"/>
        <v>0.0007587999999999999</v>
      </c>
      <c r="N58" s="43">
        <f t="shared" si="16"/>
        <v>0.0018969999999999996</v>
      </c>
      <c r="O58" s="43">
        <f t="shared" si="16"/>
        <v>0.0014078512396694218</v>
      </c>
      <c r="P58" s="43">
        <f t="shared" si="16"/>
        <v>0.0028157024793388436</v>
      </c>
      <c r="Q58" s="13">
        <f t="shared" si="9"/>
        <v>7.434410925238501</v>
      </c>
    </row>
    <row r="59" spans="1:17" ht="12.75">
      <c r="A59" s="16"/>
      <c r="B59" s="16">
        <v>5</v>
      </c>
      <c r="C59" s="43">
        <f t="shared" si="17"/>
        <v>0.9854877427685951</v>
      </c>
      <c r="D59" s="43">
        <f t="shared" si="17"/>
        <v>0.005414499999999999</v>
      </c>
      <c r="E59" s="43">
        <f t="shared" si="17"/>
        <v>0.0023205</v>
      </c>
      <c r="F59" s="43">
        <f t="shared" si="17"/>
        <v>0.002259085743801653</v>
      </c>
      <c r="G59" s="43">
        <f t="shared" si="17"/>
        <v>0.004518171487603306</v>
      </c>
      <c r="H59" s="13">
        <f t="shared" si="7"/>
        <v>15.672038499380738</v>
      </c>
      <c r="J59" s="16"/>
      <c r="K59" s="16"/>
      <c r="L59" s="43">
        <f t="shared" si="16"/>
        <v>0.9926695578512397</v>
      </c>
      <c r="M59" s="43">
        <f t="shared" si="16"/>
        <v>0.0007734999999999999</v>
      </c>
      <c r="N59" s="43">
        <f t="shared" si="16"/>
        <v>0.0019337499999999995</v>
      </c>
      <c r="O59" s="43">
        <f t="shared" si="16"/>
        <v>0.0015410640495867774</v>
      </c>
      <c r="P59" s="43">
        <f t="shared" si="16"/>
        <v>0.0030821280991735547</v>
      </c>
      <c r="Q59" s="13">
        <f t="shared" si="9"/>
        <v>7.984602264550936</v>
      </c>
    </row>
    <row r="60" spans="1:17" ht="12.75">
      <c r="A60" s="14" t="s">
        <v>70</v>
      </c>
      <c r="B60" s="16"/>
      <c r="C60" s="71"/>
      <c r="D60" s="71"/>
      <c r="E60" s="71"/>
      <c r="F60" s="71"/>
      <c r="G60" s="71"/>
      <c r="H60" s="82"/>
      <c r="J60" s="14" t="s">
        <v>70</v>
      </c>
      <c r="K60" s="16"/>
      <c r="L60" s="71"/>
      <c r="M60" s="71"/>
      <c r="N60" s="71"/>
      <c r="O60" s="71"/>
      <c r="P60" s="71"/>
      <c r="Q60" s="72"/>
    </row>
    <row r="61" spans="1:17" ht="12.75">
      <c r="A61" s="16" t="s">
        <v>156</v>
      </c>
      <c r="B61" s="16" t="s">
        <v>62</v>
      </c>
      <c r="C61" s="41">
        <f>+((C54+C55)/2+(C55+C56)/2+(C56+C57)/2+(C57+C58)/2+(C58+C59)/2)/5</f>
        <v>0.9892438713842976</v>
      </c>
      <c r="D61" s="41">
        <f>+((D54+D55)/2+(D55+D56)/2+(D56+D57)/2+(D57+D58)/2+(D58+D59)/2)/5</f>
        <v>0.0051572499999999995</v>
      </c>
      <c r="E61" s="41">
        <f>+((E54+E55)/2+(E55+E56)/2+(E56+E57)/2+(E57+E58)/2+(E58+E59)/2)/5</f>
        <v>0.00221025</v>
      </c>
      <c r="F61" s="41">
        <f>+((F54+F55)/2+(F55+F56)/2+(F56+F57)/2+(F57+F58)/2+(F58+F59)/2)/5</f>
        <v>0.0011295428719008266</v>
      </c>
      <c r="G61" s="41">
        <f>+((G54+G55)/2+(G55+G56)/2+(G56+G57)/2+(G57+G58)/2+(G58+G59)/2)/5</f>
        <v>0.002259085743801653</v>
      </c>
      <c r="H61" s="41">
        <f>SUM(C61:G61)</f>
        <v>1</v>
      </c>
      <c r="J61" s="16" t="s">
        <v>156</v>
      </c>
      <c r="K61" s="16" t="s">
        <v>62</v>
      </c>
      <c r="L61" s="41">
        <f>+((L54+L55)/2+(L55+L56)/2+(L56+L57)/2+(L57+L58)/2+(L58+L59)/2)/5</f>
        <v>0.9937972789256199</v>
      </c>
      <c r="M61" s="41">
        <f>+((M54+M55)/2+(M55+M56)/2+(M56+M57)/2+(M57+M58)/2+(M58+M59)/2)/5</f>
        <v>0.0007367499999999999</v>
      </c>
      <c r="N61" s="41">
        <f>+((N54+N55)/2+(N55+N56)/2+(N56+N57)/2+(N57+N58)/2+(N58+N59)/2)/5</f>
        <v>0.0018418749999999998</v>
      </c>
      <c r="O61" s="41">
        <f>+((O54+O55)/2+(O55+O56)/2+(O56+O57)/2+(O57+O58)/2+(O58+O59)/2)/5</f>
        <v>0.0012080320247933886</v>
      </c>
      <c r="P61" s="41">
        <f>+((P54+P55)/2+(P55+P56)/2+(P56+P57)/2+(P57+P58)/2+(P58+P59)/2)/5</f>
        <v>0.0024160640495867773</v>
      </c>
      <c r="Q61" s="41">
        <f>SUM(L61:P61)</f>
        <v>1</v>
      </c>
    </row>
    <row r="62" spans="1:17" ht="12.75">
      <c r="A62" s="34" t="s">
        <v>106</v>
      </c>
      <c r="B62" s="34" t="s">
        <v>61</v>
      </c>
      <c r="C62" s="45">
        <f>+C61*C17</f>
        <v>3.402691837245287</v>
      </c>
      <c r="D62" s="45">
        <f>+D61*D17</f>
        <v>0.317739686610605</v>
      </c>
      <c r="E62" s="45">
        <f>+E61*E17</f>
        <v>0.23906721405774697</v>
      </c>
      <c r="F62" s="45">
        <f>+F61*F17</f>
        <v>0.6518159773756723</v>
      </c>
      <c r="G62" s="45">
        <f>+G61*G17</f>
        <v>5.197026753615703</v>
      </c>
      <c r="H62" s="45">
        <f>SUM(C62:G62)</f>
        <v>9.808341468905013</v>
      </c>
      <c r="J62" s="34" t="s">
        <v>106</v>
      </c>
      <c r="K62" s="34" t="s">
        <v>61</v>
      </c>
      <c r="L62" s="45">
        <f>+L61*L17</f>
        <v>1.500946383602625</v>
      </c>
      <c r="M62" s="45">
        <f>+M61*M17</f>
        <v>0.023087172376325814</v>
      </c>
      <c r="N62" s="45">
        <f>+N61*N17</f>
        <v>0.11441600097911786</v>
      </c>
      <c r="O62" s="45">
        <f>+O61*O17</f>
        <v>0.39948117749359624</v>
      </c>
      <c r="P62" s="45">
        <f>+P61*P17</f>
        <v>4.571193181818183</v>
      </c>
      <c r="Q62" s="45">
        <f>SUM(L62:P62)</f>
        <v>6.609123916269848</v>
      </c>
    </row>
    <row r="65" spans="5:7" ht="12.75">
      <c r="E65" s="25" t="s">
        <v>44</v>
      </c>
      <c r="F65" s="118">
        <f>+'PMC 01'!F65</f>
        <v>24.3</v>
      </c>
      <c r="G65" s="25" t="s">
        <v>31</v>
      </c>
    </row>
    <row r="66" spans="5:7" ht="12.75">
      <c r="E66" s="25" t="s">
        <v>112</v>
      </c>
      <c r="F66" s="118">
        <f>+'PMC 01'!F66</f>
        <v>24.3</v>
      </c>
      <c r="G66" s="25" t="s">
        <v>31</v>
      </c>
    </row>
    <row r="67" spans="4:15" ht="12.75">
      <c r="D67" s="25" t="s">
        <v>28</v>
      </c>
      <c r="E67" s="25" t="s">
        <v>29</v>
      </c>
      <c r="F67" s="25" t="s">
        <v>30</v>
      </c>
      <c r="M67" s="25" t="s">
        <v>28</v>
      </c>
      <c r="N67" s="25" t="s">
        <v>29</v>
      </c>
      <c r="O67" s="25" t="s">
        <v>30</v>
      </c>
    </row>
    <row r="68" spans="2:15" ht="12.75">
      <c r="B68" s="26" t="s">
        <v>24</v>
      </c>
      <c r="C68" s="118">
        <f>+'PMC 01'!C68</f>
        <v>2</v>
      </c>
      <c r="D68" s="118">
        <f>+'PMC 01'!D68</f>
        <v>50</v>
      </c>
      <c r="E68" s="118">
        <f>+'PMC 01'!E68</f>
        <v>50</v>
      </c>
      <c r="F68" s="50">
        <f>+C68*E68/100/F$65</f>
        <v>0.0411522633744856</v>
      </c>
      <c r="K68" s="26" t="s">
        <v>24</v>
      </c>
      <c r="L68" s="118">
        <f>+'PMC 01'!L68</f>
        <v>2</v>
      </c>
      <c r="M68" s="118">
        <f>+'PMC 01'!M68</f>
        <v>50</v>
      </c>
      <c r="N68" s="118">
        <f>+'PMC 01'!N68</f>
        <v>50</v>
      </c>
      <c r="O68" s="50">
        <f>+L68*N68/100/F$65</f>
        <v>0.0411522633744856</v>
      </c>
    </row>
    <row r="69" spans="2:15" ht="12.75">
      <c r="B69" s="26" t="s">
        <v>5</v>
      </c>
      <c r="C69" s="118">
        <f>+'PMC 01'!C69</f>
        <v>5</v>
      </c>
      <c r="D69" s="118">
        <f>+'PMC 01'!D69</f>
        <v>0</v>
      </c>
      <c r="E69" s="118">
        <f>+'PMC 01'!E69</f>
        <v>100</v>
      </c>
      <c r="F69" s="50">
        <f>+C69*E69/100/F$65</f>
        <v>0.205761316872428</v>
      </c>
      <c r="K69" s="26" t="s">
        <v>5</v>
      </c>
      <c r="L69" s="118">
        <f>+'PMC 01'!L69</f>
        <v>5</v>
      </c>
      <c r="M69" s="118">
        <f>+'PMC 01'!M69</f>
        <v>0</v>
      </c>
      <c r="N69" s="118">
        <f>+'PMC 01'!N69</f>
        <v>100</v>
      </c>
      <c r="O69" s="51">
        <f>+L69*N69/100/F$65</f>
        <v>0.205761316872428</v>
      </c>
    </row>
    <row r="70" spans="2:15" ht="12.75">
      <c r="B70" s="25" t="s">
        <v>26</v>
      </c>
      <c r="C70" s="118">
        <f>+'PMC 01'!C70</f>
        <v>20</v>
      </c>
      <c r="D70" s="118">
        <f>+'PMC 01'!D70</f>
        <v>0</v>
      </c>
      <c r="E70" s="118">
        <f>+'PMC 01'!E70</f>
        <v>100</v>
      </c>
      <c r="F70" s="50">
        <f>+C70*E70/100/F$65</f>
        <v>0.823045267489712</v>
      </c>
      <c r="K70" s="25" t="s">
        <v>26</v>
      </c>
      <c r="L70" s="118">
        <f>+'PMC 01'!L70</f>
        <v>20</v>
      </c>
      <c r="M70" s="118">
        <f>+'PMC 01'!M70</f>
        <v>0</v>
      </c>
      <c r="N70" s="118">
        <f>+'PMC 01'!N70</f>
        <v>100</v>
      </c>
      <c r="O70" s="51">
        <f>+L70*N70/100/F$65</f>
        <v>0.823045267489712</v>
      </c>
    </row>
    <row r="71" spans="2:15" ht="12.75">
      <c r="B71" s="25" t="s">
        <v>25</v>
      </c>
      <c r="C71" s="118">
        <f>+'PMC 01'!C71</f>
        <v>200</v>
      </c>
      <c r="D71" s="118">
        <f>+'PMC 01'!D71</f>
        <v>50</v>
      </c>
      <c r="E71" s="118">
        <f>+'PMC 01'!E71</f>
        <v>50</v>
      </c>
      <c r="F71" s="50">
        <f>+C71*E71/100/F$65</f>
        <v>4.11522633744856</v>
      </c>
      <c r="K71" s="25" t="s">
        <v>25</v>
      </c>
      <c r="L71" s="118">
        <f>+'PMC 01'!L71</f>
        <v>200</v>
      </c>
      <c r="M71" s="118">
        <f>+'PMC 01'!M71</f>
        <v>50</v>
      </c>
      <c r="N71" s="118">
        <f>+'PMC 01'!N71</f>
        <v>50</v>
      </c>
      <c r="O71" s="51">
        <f>+L71*N71/100/F$65</f>
        <v>4.11522633744856</v>
      </c>
    </row>
    <row r="72" spans="2:15" ht="12.75">
      <c r="B72" s="25" t="s">
        <v>27</v>
      </c>
      <c r="C72" s="118">
        <f>+'PMC 01'!C72</f>
        <v>2000</v>
      </c>
      <c r="D72" s="118">
        <f>+'PMC 01'!D72</f>
        <v>50</v>
      </c>
      <c r="E72" s="118">
        <f>+'PMC 01'!E72</f>
        <v>50</v>
      </c>
      <c r="F72" s="51">
        <f>+C72*E72/100/F$65</f>
        <v>41.15226337448559</v>
      </c>
      <c r="K72" s="25" t="s">
        <v>53</v>
      </c>
      <c r="L72" s="118">
        <f>+'PMC 01'!L72</f>
        <v>2000</v>
      </c>
      <c r="M72" s="118">
        <f>+'PMC 01'!M72</f>
        <v>50</v>
      </c>
      <c r="N72" s="118">
        <f>+'PMC 01'!N72</f>
        <v>50</v>
      </c>
      <c r="O72" s="51">
        <f>+L72*N72/100/F$65</f>
        <v>41.15226337448559</v>
      </c>
    </row>
    <row r="75" spans="1:15" ht="12.75">
      <c r="A75" s="1" t="s">
        <v>35</v>
      </c>
      <c r="C75" s="25" t="s">
        <v>109</v>
      </c>
      <c r="D75" s="25" t="s">
        <v>110</v>
      </c>
      <c r="E75" s="25" t="s">
        <v>111</v>
      </c>
      <c r="F75" s="1" t="s">
        <v>21</v>
      </c>
      <c r="J75" s="1" t="s">
        <v>35</v>
      </c>
      <c r="L75" s="25" t="s">
        <v>109</v>
      </c>
      <c r="M75" s="25" t="s">
        <v>110</v>
      </c>
      <c r="N75" s="25" t="s">
        <v>111</v>
      </c>
      <c r="O75" s="1" t="s">
        <v>21</v>
      </c>
    </row>
    <row r="76" spans="1:15" ht="12.75">
      <c r="A76" s="25" t="s">
        <v>1</v>
      </c>
      <c r="B76" s="25" t="s">
        <v>0</v>
      </c>
      <c r="C76" s="52">
        <f>+C68*D68/100</f>
        <v>1</v>
      </c>
      <c r="D76" s="53">
        <f>+F68</f>
        <v>0.0411522633744856</v>
      </c>
      <c r="E76" s="84">
        <f>+D76*F$66</f>
        <v>1</v>
      </c>
      <c r="F76" s="3">
        <f>+E76+C76</f>
        <v>2</v>
      </c>
      <c r="J76" s="25" t="s">
        <v>1</v>
      </c>
      <c r="K76" s="25" t="s">
        <v>0</v>
      </c>
      <c r="L76" s="52">
        <f>+L68*M68/100</f>
        <v>1</v>
      </c>
      <c r="M76" s="53">
        <f>+O68</f>
        <v>0.0411522633744856</v>
      </c>
      <c r="N76" s="84">
        <f>+M76*F$66</f>
        <v>1</v>
      </c>
      <c r="O76" s="3">
        <f>+N76+L76</f>
        <v>2</v>
      </c>
    </row>
    <row r="77" spans="1:15" ht="12.75">
      <c r="A77" s="25" t="s">
        <v>5</v>
      </c>
      <c r="B77" s="25" t="s">
        <v>0</v>
      </c>
      <c r="C77" s="52">
        <f>+C69*D69/100</f>
        <v>0</v>
      </c>
      <c r="D77" s="53">
        <f>+F69</f>
        <v>0.205761316872428</v>
      </c>
      <c r="E77" s="84">
        <f>+D77*F$66</f>
        <v>5</v>
      </c>
      <c r="F77" s="3">
        <f>+E77+C77</f>
        <v>5</v>
      </c>
      <c r="J77" s="25" t="s">
        <v>5</v>
      </c>
      <c r="K77" s="25" t="s">
        <v>0</v>
      </c>
      <c r="L77" s="52">
        <f>+L69*M69/100</f>
        <v>0</v>
      </c>
      <c r="M77" s="53">
        <f>+O69</f>
        <v>0.205761316872428</v>
      </c>
      <c r="N77" s="84">
        <f>+M77*F$66</f>
        <v>5</v>
      </c>
      <c r="O77" s="3">
        <f>+N77+L77</f>
        <v>5</v>
      </c>
    </row>
    <row r="78" spans="1:15" ht="12.75">
      <c r="A78" s="25" t="s">
        <v>10</v>
      </c>
      <c r="B78" s="25" t="s">
        <v>0</v>
      </c>
      <c r="C78" s="52">
        <f>+C70*D70/100</f>
        <v>0</v>
      </c>
      <c r="D78" s="53">
        <f>+F70</f>
        <v>0.823045267489712</v>
      </c>
      <c r="E78" s="84">
        <f>+D78*F$66</f>
        <v>20</v>
      </c>
      <c r="F78" s="3">
        <f>+E78+C78</f>
        <v>20</v>
      </c>
      <c r="J78" s="25" t="s">
        <v>10</v>
      </c>
      <c r="K78" s="25" t="s">
        <v>0</v>
      </c>
      <c r="L78" s="52">
        <f>+L70*M70/100</f>
        <v>0</v>
      </c>
      <c r="M78" s="53">
        <f>+O70</f>
        <v>0.823045267489712</v>
      </c>
      <c r="N78" s="84">
        <f>+M78*F$66</f>
        <v>20</v>
      </c>
      <c r="O78" s="3">
        <f>+N78+L78</f>
        <v>20</v>
      </c>
    </row>
    <row r="79" spans="1:15" ht="12.75">
      <c r="A79" s="25" t="s">
        <v>38</v>
      </c>
      <c r="B79" s="25" t="s">
        <v>0</v>
      </c>
      <c r="C79" s="52">
        <f>+C71*D71/100</f>
        <v>100</v>
      </c>
      <c r="D79" s="53">
        <f>+F71</f>
        <v>4.11522633744856</v>
      </c>
      <c r="E79" s="84">
        <f>+D79*F$66</f>
        <v>100</v>
      </c>
      <c r="F79" s="3">
        <f>+E79+C79</f>
        <v>200</v>
      </c>
      <c r="J79" s="25" t="s">
        <v>38</v>
      </c>
      <c r="K79" s="25" t="s">
        <v>0</v>
      </c>
      <c r="L79" s="52">
        <f>+L71*M71/100</f>
        <v>100</v>
      </c>
      <c r="M79" s="53">
        <f>+O71</f>
        <v>4.11522633744856</v>
      </c>
      <c r="N79" s="84">
        <f>+M79*F$66</f>
        <v>100</v>
      </c>
      <c r="O79" s="3">
        <f>+N79+L79</f>
        <v>200</v>
      </c>
    </row>
    <row r="80" spans="1:15" ht="12.75">
      <c r="A80" s="25" t="s">
        <v>53</v>
      </c>
      <c r="B80" s="25" t="s">
        <v>0</v>
      </c>
      <c r="C80" s="52">
        <f>+C72*D72/100</f>
        <v>1000</v>
      </c>
      <c r="D80" s="53">
        <f>+F72</f>
        <v>41.15226337448559</v>
      </c>
      <c r="E80" s="84">
        <f>+D80*F$66</f>
        <v>999.9999999999999</v>
      </c>
      <c r="F80" s="3">
        <f>+E80+C80</f>
        <v>2000</v>
      </c>
      <c r="J80" s="25" t="s">
        <v>53</v>
      </c>
      <c r="K80" s="25" t="s">
        <v>0</v>
      </c>
      <c r="L80" s="52">
        <f>+L72*M72/100</f>
        <v>1000</v>
      </c>
      <c r="M80" s="53">
        <f>+O72</f>
        <v>41.15226337448559</v>
      </c>
      <c r="N80" s="84">
        <f>+M80*F$66</f>
        <v>999.9999999999999</v>
      </c>
      <c r="O80" s="3">
        <f>+N80+L80</f>
        <v>2000</v>
      </c>
    </row>
    <row r="84" ht="12.75">
      <c r="A84" s="1" t="s">
        <v>182</v>
      </c>
    </row>
    <row r="85" spans="1:3" ht="12.75">
      <c r="A85" s="25" t="s">
        <v>193</v>
      </c>
      <c r="B85" s="147">
        <f>+'PMC 01'!B85</f>
        <v>400</v>
      </c>
      <c r="C85" s="26" t="s">
        <v>178</v>
      </c>
    </row>
    <row r="86" spans="1:3" ht="12.75">
      <c r="A86" s="25" t="s">
        <v>71</v>
      </c>
      <c r="B86" s="151">
        <f>+'PMC 01'!B86</f>
        <v>230.16167553565288</v>
      </c>
      <c r="C86" s="26" t="s">
        <v>181</v>
      </c>
    </row>
    <row r="87" ht="12.75">
      <c r="A87" s="25" t="s">
        <v>23</v>
      </c>
    </row>
    <row r="88" spans="1:3" ht="12.75">
      <c r="A88" s="25" t="s">
        <v>124</v>
      </c>
      <c r="B88" s="147">
        <f>+'PMC 01'!B88</f>
        <v>12000</v>
      </c>
      <c r="C88" s="25" t="s">
        <v>72</v>
      </c>
    </row>
    <row r="89" spans="1:2" ht="12.75" customHeight="1">
      <c r="A89" s="25" t="s">
        <v>73</v>
      </c>
      <c r="B89" s="148">
        <f>+'PMC 01'!B89</f>
        <v>0.2</v>
      </c>
    </row>
    <row r="90" spans="1:4" ht="12.75" customHeight="1">
      <c r="A90" s="25" t="s">
        <v>74</v>
      </c>
      <c r="B90" s="148">
        <f>+'PMC 01'!B90</f>
        <v>0.4</v>
      </c>
      <c r="C90" s="147">
        <f>+'PMC 01'!C90</f>
        <v>3840</v>
      </c>
      <c r="D90" s="25" t="s">
        <v>78</v>
      </c>
    </row>
    <row r="91" spans="1:4" ht="12.75" customHeight="1">
      <c r="A91" s="25" t="s">
        <v>75</v>
      </c>
      <c r="B91" s="148">
        <f>+'PMC 01'!B91</f>
        <v>0.6</v>
      </c>
      <c r="C91" s="147">
        <f>+'PMC 01'!C91</f>
        <v>5760</v>
      </c>
      <c r="D91" s="25" t="s">
        <v>78</v>
      </c>
    </row>
    <row r="92" ht="12.75" customHeight="1"/>
    <row r="93" spans="1:18" ht="12.75" customHeight="1">
      <c r="A93" s="16"/>
      <c r="B93" s="55"/>
      <c r="C93" s="27" t="s">
        <v>51</v>
      </c>
      <c r="D93" s="27" t="s">
        <v>58</v>
      </c>
      <c r="E93" s="27" t="s">
        <v>59</v>
      </c>
      <c r="F93" s="27" t="s">
        <v>108</v>
      </c>
      <c r="G93" s="27" t="s">
        <v>52</v>
      </c>
      <c r="H93" s="39" t="s">
        <v>6</v>
      </c>
      <c r="J93" s="16"/>
      <c r="K93" s="55"/>
      <c r="L93" s="27" t="s">
        <v>51</v>
      </c>
      <c r="M93" s="27" t="s">
        <v>58</v>
      </c>
      <c r="N93" s="27" t="s">
        <v>59</v>
      </c>
      <c r="O93" s="27" t="s">
        <v>60</v>
      </c>
      <c r="P93" s="27" t="s">
        <v>52</v>
      </c>
      <c r="Q93" s="39" t="s">
        <v>6</v>
      </c>
      <c r="R93" s="39" t="s">
        <v>91</v>
      </c>
    </row>
    <row r="94" spans="1:18" ht="12.75" customHeight="1">
      <c r="A94" s="14" t="s">
        <v>79</v>
      </c>
      <c r="B94" s="55"/>
      <c r="C94" s="27"/>
      <c r="D94" s="27"/>
      <c r="E94" s="27"/>
      <c r="F94" s="27"/>
      <c r="G94" s="27"/>
      <c r="H94" s="39"/>
      <c r="J94" s="14" t="s">
        <v>79</v>
      </c>
      <c r="K94" s="55"/>
      <c r="L94" s="27"/>
      <c r="M94" s="27"/>
      <c r="N94" s="27"/>
      <c r="O94" s="27"/>
      <c r="P94" s="27"/>
      <c r="Q94" s="39"/>
      <c r="R94" s="16"/>
    </row>
    <row r="95" spans="1:18" ht="12.75" customHeight="1">
      <c r="A95" s="15" t="s">
        <v>2</v>
      </c>
      <c r="B95" s="55"/>
      <c r="C95" s="27"/>
      <c r="D95" s="27"/>
      <c r="E95" s="27"/>
      <c r="F95" s="27"/>
      <c r="G95" s="27"/>
      <c r="H95" s="39"/>
      <c r="J95" s="15" t="s">
        <v>2</v>
      </c>
      <c r="K95" s="55"/>
      <c r="L95" s="27"/>
      <c r="M95" s="27"/>
      <c r="N95" s="27"/>
      <c r="O95" s="27"/>
      <c r="P95" s="27"/>
      <c r="Q95" s="39"/>
      <c r="R95" s="16"/>
    </row>
    <row r="96" spans="1:18" ht="12.75" customHeight="1">
      <c r="A96" s="16" t="s">
        <v>76</v>
      </c>
      <c r="B96" s="16" t="s">
        <v>3</v>
      </c>
      <c r="C96" s="56">
        <f>+$C$90*C24*$C$76</f>
        <v>3744</v>
      </c>
      <c r="D96" s="56">
        <f>+$C$90*D24*$C$76</f>
        <v>26.88</v>
      </c>
      <c r="E96" s="56">
        <f>+$C$90*E24*$C$76</f>
        <v>11.52</v>
      </c>
      <c r="F96" s="56">
        <f>+$C$90*F24*$C$76</f>
        <v>19.2</v>
      </c>
      <c r="G96" s="56">
        <f>+$C$90*G24*$C$76</f>
        <v>38.4</v>
      </c>
      <c r="H96" s="57">
        <f>SUM(C96:G96)</f>
        <v>3840</v>
      </c>
      <c r="J96" s="16" t="s">
        <v>76</v>
      </c>
      <c r="K96" s="16" t="s">
        <v>3</v>
      </c>
      <c r="L96" s="56">
        <f>+$C$91*L24*$L$76</f>
        <v>5696.64</v>
      </c>
      <c r="M96" s="56">
        <f>+$C$91*M24*$L$76</f>
        <v>5.76</v>
      </c>
      <c r="N96" s="56">
        <f>+$C$91*N24*$L$76</f>
        <v>14.4</v>
      </c>
      <c r="O96" s="56">
        <f>+$C$91*O24*$L$76</f>
        <v>14.4</v>
      </c>
      <c r="P96" s="56">
        <f>+$C$91*P24*$L$76</f>
        <v>28.8</v>
      </c>
      <c r="Q96" s="57">
        <f>SUM(L96:P96)</f>
        <v>5760</v>
      </c>
      <c r="R96" s="57">
        <f>+Q96+H96</f>
        <v>9600</v>
      </c>
    </row>
    <row r="97" spans="1:18" ht="12.75" customHeight="1">
      <c r="A97" s="17" t="s">
        <v>77</v>
      </c>
      <c r="B97" s="16" t="s">
        <v>3</v>
      </c>
      <c r="C97" s="56">
        <f>+$C$90*C24*$E$76</f>
        <v>3744</v>
      </c>
      <c r="D97" s="56">
        <f>+$C$90*D24*$E$76</f>
        <v>26.88</v>
      </c>
      <c r="E97" s="56">
        <f>+$C$90*E24*$E$76</f>
        <v>11.52</v>
      </c>
      <c r="F97" s="56">
        <f>+$C$90*F24*$E$76</f>
        <v>19.2</v>
      </c>
      <c r="G97" s="56">
        <f>+$C$90*G24*$E$76</f>
        <v>38.4</v>
      </c>
      <c r="H97" s="57">
        <f aca="true" t="shared" si="18" ref="H97:H121">SUM(C97:G97)</f>
        <v>3840</v>
      </c>
      <c r="J97" s="17" t="s">
        <v>77</v>
      </c>
      <c r="K97" s="16" t="s">
        <v>3</v>
      </c>
      <c r="L97" s="56">
        <f>+$C$91*L24*$N$76</f>
        <v>5696.64</v>
      </c>
      <c r="M97" s="56">
        <f>+$C$91*M24*$N$76</f>
        <v>5.76</v>
      </c>
      <c r="N97" s="56">
        <f>+$C$91*N24*$N$76</f>
        <v>14.4</v>
      </c>
      <c r="O97" s="56">
        <f>+$C$91*O24*$N$76</f>
        <v>14.4</v>
      </c>
      <c r="P97" s="56">
        <f>+$C$91*P24*$N$76</f>
        <v>28.8</v>
      </c>
      <c r="Q97" s="57">
        <f>SUM(L97:P97)</f>
        <v>5760</v>
      </c>
      <c r="R97" s="57">
        <f aca="true" t="shared" si="19" ref="R97:R148">+Q97+H97</f>
        <v>9600</v>
      </c>
    </row>
    <row r="98" spans="1:18" ht="12.75" customHeight="1">
      <c r="A98" s="18" t="s">
        <v>54</v>
      </c>
      <c r="B98" s="16" t="s">
        <v>3</v>
      </c>
      <c r="C98" s="19">
        <f>SUM(C96:C97)</f>
        <v>7488</v>
      </c>
      <c r="D98" s="19">
        <f>SUM(D96:D97)</f>
        <v>53.76</v>
      </c>
      <c r="E98" s="19">
        <f>SUM(E96:E97)</f>
        <v>23.04</v>
      </c>
      <c r="F98" s="19">
        <f>SUM(F96:F97)</f>
        <v>38.4</v>
      </c>
      <c r="G98" s="19">
        <f>SUM(G96:G97)</f>
        <v>76.8</v>
      </c>
      <c r="H98" s="20">
        <f t="shared" si="18"/>
        <v>7680</v>
      </c>
      <c r="J98" s="18" t="s">
        <v>54</v>
      </c>
      <c r="K98" s="16" t="s">
        <v>3</v>
      </c>
      <c r="L98" s="19">
        <f>SUM(L96:L97)</f>
        <v>11393.28</v>
      </c>
      <c r="M98" s="19">
        <f>SUM(M96:M97)</f>
        <v>11.52</v>
      </c>
      <c r="N98" s="19">
        <f>SUM(N96:N97)</f>
        <v>28.8</v>
      </c>
      <c r="O98" s="19">
        <f>SUM(O96:O97)</f>
        <v>28.8</v>
      </c>
      <c r="P98" s="19">
        <f>SUM(P96:P97)</f>
        <v>57.6</v>
      </c>
      <c r="Q98" s="20">
        <f>SUM(L98:P98)</f>
        <v>11520</v>
      </c>
      <c r="R98" s="20">
        <f t="shared" si="19"/>
        <v>19200</v>
      </c>
    </row>
    <row r="99" spans="1:18" ht="12.75" customHeight="1">
      <c r="A99" s="15" t="s">
        <v>12</v>
      </c>
      <c r="B99" s="16"/>
      <c r="C99" s="19"/>
      <c r="D99" s="19"/>
      <c r="E99" s="19"/>
      <c r="F99" s="19"/>
      <c r="G99" s="19"/>
      <c r="H99" s="20"/>
      <c r="J99" s="15" t="s">
        <v>12</v>
      </c>
      <c r="K99" s="16"/>
      <c r="L99" s="19"/>
      <c r="M99" s="19"/>
      <c r="N99" s="19"/>
      <c r="O99" s="19"/>
      <c r="P99" s="19"/>
      <c r="Q99" s="20"/>
      <c r="R99" s="57"/>
    </row>
    <row r="100" spans="1:18" ht="12.75" customHeight="1">
      <c r="A100" s="16" t="s">
        <v>76</v>
      </c>
      <c r="B100" s="34" t="s">
        <v>11</v>
      </c>
      <c r="C100" s="56">
        <f>+$C$90*$C$77*C24</f>
        <v>0</v>
      </c>
      <c r="D100" s="56">
        <f>+$C$90*$C$77*D24</f>
        <v>0</v>
      </c>
      <c r="E100" s="56">
        <f>+$C$90*$C$77*E24</f>
        <v>0</v>
      </c>
      <c r="F100" s="56">
        <f>+$C$90*$C$77*F24</f>
        <v>0</v>
      </c>
      <c r="G100" s="56">
        <f>+$C$90*$C$77*G24</f>
        <v>0</v>
      </c>
      <c r="H100" s="57">
        <f t="shared" si="18"/>
        <v>0</v>
      </c>
      <c r="J100" s="16" t="s">
        <v>76</v>
      </c>
      <c r="K100" s="34" t="s">
        <v>11</v>
      </c>
      <c r="L100" s="56">
        <f>+$C$91*$L$77*L24</f>
        <v>0</v>
      </c>
      <c r="M100" s="56">
        <f>+$C$91*$L$77*M24</f>
        <v>0</v>
      </c>
      <c r="N100" s="56">
        <f>+$C$91*$L$77*N24</f>
        <v>0</v>
      </c>
      <c r="O100" s="56">
        <f>+$C$91*$L$77*O24</f>
        <v>0</v>
      </c>
      <c r="P100" s="56">
        <f>+$C$91*$L$77*P24</f>
        <v>0</v>
      </c>
      <c r="Q100" s="57">
        <f>SUM(L100:P100)</f>
        <v>0</v>
      </c>
      <c r="R100" s="57">
        <f t="shared" si="19"/>
        <v>0</v>
      </c>
    </row>
    <row r="101" spans="1:18" ht="12.75" customHeight="1">
      <c r="A101" s="17" t="s">
        <v>77</v>
      </c>
      <c r="B101" s="34" t="s">
        <v>11</v>
      </c>
      <c r="C101" s="56">
        <f>+$C$90*$E$77*C24</f>
        <v>18720</v>
      </c>
      <c r="D101" s="56">
        <f>+$C$90*$E$77*D24</f>
        <v>134.4</v>
      </c>
      <c r="E101" s="56">
        <f>+$C$90*$E$77*E24</f>
        <v>57.6</v>
      </c>
      <c r="F101" s="56">
        <f>+$C$90*$E$77*F24</f>
        <v>96</v>
      </c>
      <c r="G101" s="56">
        <f>+$C$90*$E$77*G24</f>
        <v>192</v>
      </c>
      <c r="H101" s="57">
        <f t="shared" si="18"/>
        <v>19200</v>
      </c>
      <c r="J101" s="17" t="s">
        <v>77</v>
      </c>
      <c r="K101" s="34" t="s">
        <v>11</v>
      </c>
      <c r="L101" s="56">
        <f>+$C$91*$N$77*L24</f>
        <v>28483.2</v>
      </c>
      <c r="M101" s="56">
        <f>+$C$91*$N$77*M24</f>
        <v>28.8</v>
      </c>
      <c r="N101" s="56">
        <f>+$C$91*$N$77*N24</f>
        <v>72</v>
      </c>
      <c r="O101" s="56">
        <f>+$C$91*$N$77*O24</f>
        <v>72</v>
      </c>
      <c r="P101" s="56">
        <f>+$C$91*$N$77*P24</f>
        <v>144</v>
      </c>
      <c r="Q101" s="57">
        <f>SUM(L101:P101)</f>
        <v>28800</v>
      </c>
      <c r="R101" s="57">
        <f t="shared" si="19"/>
        <v>48000</v>
      </c>
    </row>
    <row r="102" spans="1:18" ht="12.75" customHeight="1">
      <c r="A102" s="18" t="s">
        <v>55</v>
      </c>
      <c r="B102" s="34" t="s">
        <v>11</v>
      </c>
      <c r="C102" s="19">
        <f>SUM(C100:C101)</f>
        <v>18720</v>
      </c>
      <c r="D102" s="19">
        <f>SUM(D100:D101)</f>
        <v>134.4</v>
      </c>
      <c r="E102" s="19">
        <f>SUM(E100:E101)</f>
        <v>57.6</v>
      </c>
      <c r="F102" s="19">
        <f>SUM(F100:F101)</f>
        <v>96</v>
      </c>
      <c r="G102" s="19">
        <f>SUM(G100:G101)</f>
        <v>192</v>
      </c>
      <c r="H102" s="20">
        <f t="shared" si="18"/>
        <v>19200</v>
      </c>
      <c r="J102" s="18" t="s">
        <v>55</v>
      </c>
      <c r="K102" s="34" t="s">
        <v>11</v>
      </c>
      <c r="L102" s="19">
        <f>SUM(L100:L101)</f>
        <v>28483.2</v>
      </c>
      <c r="M102" s="19">
        <f>SUM(M100:M101)</f>
        <v>28.8</v>
      </c>
      <c r="N102" s="19">
        <f>SUM(N100:N101)</f>
        <v>72</v>
      </c>
      <c r="O102" s="19">
        <f>SUM(O100:O101)</f>
        <v>72</v>
      </c>
      <c r="P102" s="19">
        <f>SUM(P100:P101)</f>
        <v>144</v>
      </c>
      <c r="Q102" s="20">
        <f>SUM(L102:P102)</f>
        <v>28800</v>
      </c>
      <c r="R102" s="20">
        <f t="shared" si="19"/>
        <v>48000</v>
      </c>
    </row>
    <row r="103" spans="1:18" ht="12.75" customHeight="1">
      <c r="A103" s="15" t="s">
        <v>146</v>
      </c>
      <c r="B103" s="34"/>
      <c r="C103" s="19"/>
      <c r="D103" s="19"/>
      <c r="E103" s="19"/>
      <c r="F103" s="19"/>
      <c r="G103" s="19"/>
      <c r="H103" s="20"/>
      <c r="J103" s="15" t="s">
        <v>146</v>
      </c>
      <c r="K103" s="34"/>
      <c r="L103" s="19"/>
      <c r="M103" s="19"/>
      <c r="N103" s="19"/>
      <c r="O103" s="19"/>
      <c r="P103" s="19"/>
      <c r="Q103" s="20"/>
      <c r="R103" s="57"/>
    </row>
    <row r="104" spans="1:18" ht="12.75" customHeight="1">
      <c r="A104" s="16" t="s">
        <v>76</v>
      </c>
      <c r="B104" s="34" t="s">
        <v>15</v>
      </c>
      <c r="C104" s="56"/>
      <c r="D104" s="56">
        <f>+$C$90*D24*$C$78</f>
        <v>0</v>
      </c>
      <c r="E104" s="56">
        <f>+$C$90*E24*$C$78</f>
        <v>0</v>
      </c>
      <c r="F104" s="56">
        <f>+$C$90*F24*$C$78</f>
        <v>0</v>
      </c>
      <c r="G104" s="56">
        <f>+$C$90*G24*$C$78</f>
        <v>0</v>
      </c>
      <c r="H104" s="57">
        <f t="shared" si="18"/>
        <v>0</v>
      </c>
      <c r="J104" s="16" t="s">
        <v>76</v>
      </c>
      <c r="K104" s="34" t="s">
        <v>15</v>
      </c>
      <c r="L104" s="56"/>
      <c r="M104" s="56">
        <f>+$C$91*M24*$L$78</f>
        <v>0</v>
      </c>
      <c r="N104" s="56">
        <f>+$C$91*N24*$L$78</f>
        <v>0</v>
      </c>
      <c r="O104" s="56">
        <f>+$C$91*O24*$L$78</f>
        <v>0</v>
      </c>
      <c r="P104" s="56">
        <f>+$C$91*P24*$L$78</f>
        <v>0</v>
      </c>
      <c r="Q104" s="57">
        <f>SUM(L104:P104)</f>
        <v>0</v>
      </c>
      <c r="R104" s="57">
        <f t="shared" si="19"/>
        <v>0</v>
      </c>
    </row>
    <row r="105" spans="1:18" ht="12.75" customHeight="1">
      <c r="A105" s="17" t="s">
        <v>77</v>
      </c>
      <c r="B105" s="34" t="s">
        <v>15</v>
      </c>
      <c r="C105" s="56"/>
      <c r="D105" s="56">
        <f>+$C$90*$E$78*D24</f>
        <v>537.6</v>
      </c>
      <c r="E105" s="56">
        <f>+$C$90*$E$78*E24</f>
        <v>230.4</v>
      </c>
      <c r="F105" s="56">
        <f>+$C$90*$E$78*F24</f>
        <v>384</v>
      </c>
      <c r="G105" s="56">
        <f>+$C$90*$E$78*G24</f>
        <v>768</v>
      </c>
      <c r="H105" s="57">
        <f t="shared" si="18"/>
        <v>1920</v>
      </c>
      <c r="J105" s="17" t="s">
        <v>77</v>
      </c>
      <c r="K105" s="34" t="s">
        <v>15</v>
      </c>
      <c r="L105" s="56"/>
      <c r="M105" s="56">
        <f>+$C$91*$N$78*M24</f>
        <v>115.2</v>
      </c>
      <c r="N105" s="56">
        <f>+$C$91*$N$78*N24</f>
        <v>288</v>
      </c>
      <c r="O105" s="56">
        <f>+$C$91*$N$78*O24</f>
        <v>288</v>
      </c>
      <c r="P105" s="56">
        <f>+$C$91*$N$78*P24</f>
        <v>576</v>
      </c>
      <c r="Q105" s="57">
        <f>SUM(L105:P105)</f>
        <v>1267.2</v>
      </c>
      <c r="R105" s="57">
        <f t="shared" si="19"/>
        <v>3187.2</v>
      </c>
    </row>
    <row r="106" spans="1:18" ht="12.75" customHeight="1">
      <c r="A106" s="18" t="s">
        <v>80</v>
      </c>
      <c r="B106" s="34" t="s">
        <v>15</v>
      </c>
      <c r="C106" s="20">
        <f aca="true" t="shared" si="20" ref="C106:H106">SUM(C104:C105)</f>
        <v>0</v>
      </c>
      <c r="D106" s="20">
        <f t="shared" si="20"/>
        <v>537.6</v>
      </c>
      <c r="E106" s="20">
        <f t="shared" si="20"/>
        <v>230.4</v>
      </c>
      <c r="F106" s="20">
        <f t="shared" si="20"/>
        <v>384</v>
      </c>
      <c r="G106" s="20">
        <f t="shared" si="20"/>
        <v>768</v>
      </c>
      <c r="H106" s="20">
        <f t="shared" si="20"/>
        <v>1920</v>
      </c>
      <c r="J106" s="18" t="s">
        <v>80</v>
      </c>
      <c r="K106" s="34" t="s">
        <v>15</v>
      </c>
      <c r="L106" s="20"/>
      <c r="M106" s="20">
        <f>SUM(M104:M105)</f>
        <v>115.2</v>
      </c>
      <c r="N106" s="20">
        <f>SUM(N104:N105)</f>
        <v>288</v>
      </c>
      <c r="O106" s="20">
        <f>SUM(O104:O105)</f>
        <v>288</v>
      </c>
      <c r="P106" s="20">
        <f>SUM(P104:P105)</f>
        <v>576</v>
      </c>
      <c r="Q106" s="20">
        <f>SUM(Q104:Q105)</f>
        <v>1267.2</v>
      </c>
      <c r="R106" s="20">
        <f t="shared" si="19"/>
        <v>3187.2</v>
      </c>
    </row>
    <row r="107" spans="1:18" ht="12.75" customHeight="1">
      <c r="A107" s="15" t="s">
        <v>153</v>
      </c>
      <c r="B107" s="34"/>
      <c r="C107" s="20"/>
      <c r="D107" s="20"/>
      <c r="E107" s="20"/>
      <c r="F107" s="20"/>
      <c r="G107" s="20"/>
      <c r="H107" s="20"/>
      <c r="J107" s="15"/>
      <c r="K107" s="34"/>
      <c r="L107" s="20"/>
      <c r="M107" s="20"/>
      <c r="N107" s="20"/>
      <c r="O107" s="20"/>
      <c r="P107" s="20"/>
      <c r="Q107" s="20"/>
      <c r="R107" s="57"/>
    </row>
    <row r="108" spans="1:18" ht="12.75" customHeight="1">
      <c r="A108" s="16" t="s">
        <v>76</v>
      </c>
      <c r="B108" s="34" t="s">
        <v>96</v>
      </c>
      <c r="C108" s="56"/>
      <c r="D108" s="56"/>
      <c r="E108" s="56"/>
      <c r="F108" s="58">
        <f>+$C$90*$C$80*F27</f>
        <v>13439.999999999998</v>
      </c>
      <c r="G108" s="58">
        <f>+$C$90*$C$80*G27</f>
        <v>26879.999999999996</v>
      </c>
      <c r="H108" s="57">
        <f t="shared" si="18"/>
        <v>40319.99999999999</v>
      </c>
      <c r="J108" s="16"/>
      <c r="K108" s="34"/>
      <c r="L108" s="56"/>
      <c r="M108" s="56"/>
      <c r="N108" s="56"/>
      <c r="O108" s="58"/>
      <c r="P108" s="58"/>
      <c r="Q108" s="57"/>
      <c r="R108" s="57">
        <f t="shared" si="19"/>
        <v>40319.99999999999</v>
      </c>
    </row>
    <row r="109" spans="1:18" ht="12.75" customHeight="1">
      <c r="A109" s="17" t="s">
        <v>77</v>
      </c>
      <c r="B109" s="34" t="s">
        <v>96</v>
      </c>
      <c r="C109" s="56"/>
      <c r="D109" s="56"/>
      <c r="E109" s="56"/>
      <c r="F109" s="58">
        <f>+$C$90*$E$80*F27</f>
        <v>13439.999999999996</v>
      </c>
      <c r="G109" s="58">
        <f>+$C$90*$E$80*G27</f>
        <v>26879.999999999993</v>
      </c>
      <c r="H109" s="57">
        <f t="shared" si="18"/>
        <v>40319.999999999985</v>
      </c>
      <c r="J109" s="17"/>
      <c r="K109" s="34"/>
      <c r="L109" s="56"/>
      <c r="M109" s="56"/>
      <c r="N109" s="56"/>
      <c r="O109" s="58"/>
      <c r="P109" s="58"/>
      <c r="Q109" s="57"/>
      <c r="R109" s="57">
        <f t="shared" si="19"/>
        <v>40319.999999999985</v>
      </c>
    </row>
    <row r="110" spans="1:18" ht="12.75" customHeight="1">
      <c r="A110" s="18" t="s">
        <v>81</v>
      </c>
      <c r="B110" s="34" t="s">
        <v>96</v>
      </c>
      <c r="C110" s="20">
        <f aca="true" t="shared" si="21" ref="C110:H110">SUM(C108:C109)</f>
        <v>0</v>
      </c>
      <c r="D110" s="20">
        <f t="shared" si="21"/>
        <v>0</v>
      </c>
      <c r="E110" s="20">
        <f t="shared" si="21"/>
        <v>0</v>
      </c>
      <c r="F110" s="20">
        <f t="shared" si="21"/>
        <v>26879.999999999993</v>
      </c>
      <c r="G110" s="20">
        <f t="shared" si="21"/>
        <v>53759.999999999985</v>
      </c>
      <c r="H110" s="20">
        <f t="shared" si="21"/>
        <v>80639.99999999997</v>
      </c>
      <c r="J110" s="18"/>
      <c r="K110" s="34"/>
      <c r="L110" s="20"/>
      <c r="M110" s="20"/>
      <c r="N110" s="20"/>
      <c r="O110" s="20"/>
      <c r="P110" s="20"/>
      <c r="Q110" s="20"/>
      <c r="R110" s="20">
        <f t="shared" si="19"/>
        <v>80639.99999999997</v>
      </c>
    </row>
    <row r="111" spans="1:18" ht="12.75" customHeight="1">
      <c r="A111" s="15" t="s">
        <v>153</v>
      </c>
      <c r="B111" s="34"/>
      <c r="C111" s="20"/>
      <c r="D111" s="20"/>
      <c r="E111" s="20"/>
      <c r="F111" s="20"/>
      <c r="G111" s="20"/>
      <c r="H111" s="20"/>
      <c r="J111" s="15" t="s">
        <v>147</v>
      </c>
      <c r="K111" s="34"/>
      <c r="L111" s="20"/>
      <c r="M111" s="20"/>
      <c r="N111" s="20"/>
      <c r="O111" s="20"/>
      <c r="P111" s="20"/>
      <c r="Q111" s="20"/>
      <c r="R111" s="20"/>
    </row>
    <row r="112" spans="1:18" ht="12.75" customHeight="1">
      <c r="A112" s="16" t="s">
        <v>76</v>
      </c>
      <c r="B112" s="34" t="s">
        <v>16</v>
      </c>
      <c r="C112" s="20"/>
      <c r="D112" s="20"/>
      <c r="E112" s="20"/>
      <c r="F112" s="20"/>
      <c r="G112" s="20"/>
      <c r="H112" s="20"/>
      <c r="J112" s="16" t="s">
        <v>76</v>
      </c>
      <c r="K112" s="34" t="s">
        <v>16</v>
      </c>
      <c r="L112" s="20"/>
      <c r="M112" s="20"/>
      <c r="N112" s="20"/>
      <c r="O112" s="58">
        <f>+$C$91*$L$79*O$27</f>
        <v>1007.9999999999999</v>
      </c>
      <c r="P112" s="58">
        <f>+$C$91*$L$79*P$27</f>
        <v>2015.9999999999998</v>
      </c>
      <c r="Q112" s="57">
        <f>SUM(L112:P112)</f>
        <v>3023.9999999999995</v>
      </c>
      <c r="R112" s="57">
        <f t="shared" si="19"/>
        <v>3023.9999999999995</v>
      </c>
    </row>
    <row r="113" spans="1:18" ht="12.75" customHeight="1">
      <c r="A113" s="17" t="s">
        <v>77</v>
      </c>
      <c r="B113" s="34" t="s">
        <v>16</v>
      </c>
      <c r="C113" s="20"/>
      <c r="D113" s="20"/>
      <c r="E113" s="20"/>
      <c r="F113" s="20"/>
      <c r="G113" s="20"/>
      <c r="H113" s="20"/>
      <c r="J113" s="17" t="s">
        <v>77</v>
      </c>
      <c r="K113" s="34" t="s">
        <v>16</v>
      </c>
      <c r="L113" s="20"/>
      <c r="M113" s="20"/>
      <c r="N113" s="20"/>
      <c r="O113" s="58">
        <f>+$C$91*$N$79*O$27</f>
        <v>1007.9999999999999</v>
      </c>
      <c r="P113" s="58">
        <f>+$C$91*$N$79*P$27</f>
        <v>2015.9999999999998</v>
      </c>
      <c r="Q113" s="57">
        <f>SUM(L113:P113)</f>
        <v>3023.9999999999995</v>
      </c>
      <c r="R113" s="57">
        <f t="shared" si="19"/>
        <v>3023.9999999999995</v>
      </c>
    </row>
    <row r="114" spans="1:18" ht="12.75" customHeight="1">
      <c r="A114" s="18" t="s">
        <v>81</v>
      </c>
      <c r="B114" s="34" t="s">
        <v>16</v>
      </c>
      <c r="C114" s="20"/>
      <c r="D114" s="20"/>
      <c r="E114" s="20"/>
      <c r="F114" s="20"/>
      <c r="G114" s="20"/>
      <c r="H114" s="20"/>
      <c r="J114" s="18" t="s">
        <v>81</v>
      </c>
      <c r="K114" s="34" t="s">
        <v>16</v>
      </c>
      <c r="L114" s="20"/>
      <c r="M114" s="20"/>
      <c r="N114" s="20"/>
      <c r="O114" s="20">
        <f>SUM(O112:O113)</f>
        <v>2015.9999999999998</v>
      </c>
      <c r="P114" s="20">
        <f>SUM(P112:P113)</f>
        <v>4031.9999999999995</v>
      </c>
      <c r="Q114" s="20">
        <f>SUM(Q112:Q113)</f>
        <v>6047.999999999999</v>
      </c>
      <c r="R114" s="20">
        <f t="shared" si="19"/>
        <v>6047.999999999999</v>
      </c>
    </row>
    <row r="115" spans="1:18" ht="12.75" customHeight="1">
      <c r="A115" s="15" t="s">
        <v>82</v>
      </c>
      <c r="B115" s="34"/>
      <c r="C115" s="20"/>
      <c r="D115" s="20"/>
      <c r="E115" s="20"/>
      <c r="F115" s="20"/>
      <c r="G115" s="20"/>
      <c r="H115" s="20"/>
      <c r="J115" s="15" t="s">
        <v>82</v>
      </c>
      <c r="K115" s="34"/>
      <c r="L115" s="20"/>
      <c r="M115" s="20"/>
      <c r="N115" s="20"/>
      <c r="O115" s="20"/>
      <c r="P115" s="20"/>
      <c r="Q115" s="20"/>
      <c r="R115" s="57"/>
    </row>
    <row r="116" spans="1:18" ht="12.75" customHeight="1">
      <c r="A116" s="16" t="s">
        <v>76</v>
      </c>
      <c r="B116" s="34" t="s">
        <v>56</v>
      </c>
      <c r="C116" s="56"/>
      <c r="D116" s="56">
        <f>+$C$90*$C$77*D$24</f>
        <v>0</v>
      </c>
      <c r="E116" s="56">
        <f>+$C$90*$C$77*E$24</f>
        <v>0</v>
      </c>
      <c r="F116" s="56">
        <f>+$C$90*$C$77*F$24</f>
        <v>0</v>
      </c>
      <c r="G116" s="56">
        <f>+$C$90*$C$77*G$24</f>
        <v>0</v>
      </c>
      <c r="H116" s="57">
        <f t="shared" si="18"/>
        <v>0</v>
      </c>
      <c r="J116" s="16" t="s">
        <v>76</v>
      </c>
      <c r="K116" s="34" t="s">
        <v>56</v>
      </c>
      <c r="L116" s="56"/>
      <c r="M116" s="56">
        <f>+$C$91*$L$77*M$24</f>
        <v>0</v>
      </c>
      <c r="N116" s="56">
        <f>+$C$91*$L$77*N$24</f>
        <v>0</v>
      </c>
      <c r="O116" s="56">
        <f>+$C$91*$L$77*O$24</f>
        <v>0</v>
      </c>
      <c r="P116" s="56">
        <f>+$C$91*$L$77*P$24</f>
        <v>0</v>
      </c>
      <c r="Q116" s="57">
        <f>SUM(L116:P116)</f>
        <v>0</v>
      </c>
      <c r="R116" s="57">
        <f t="shared" si="19"/>
        <v>0</v>
      </c>
    </row>
    <row r="117" spans="1:18" ht="12.75" customHeight="1">
      <c r="A117" s="17" t="s">
        <v>77</v>
      </c>
      <c r="B117" s="34" t="s">
        <v>56</v>
      </c>
      <c r="C117" s="56"/>
      <c r="D117" s="56">
        <f>+$C$90*$E$77*D$24</f>
        <v>134.4</v>
      </c>
      <c r="E117" s="56">
        <f>+$C$90*$E$77*E$24</f>
        <v>57.6</v>
      </c>
      <c r="F117" s="56">
        <f>+$C$90*$E$77*F$24</f>
        <v>96</v>
      </c>
      <c r="G117" s="56">
        <f>+$C$90*$E$77*G$24</f>
        <v>192</v>
      </c>
      <c r="H117" s="57">
        <f t="shared" si="18"/>
        <v>480</v>
      </c>
      <c r="J117" s="17" t="s">
        <v>77</v>
      </c>
      <c r="K117" s="34" t="s">
        <v>56</v>
      </c>
      <c r="L117" s="56"/>
      <c r="M117" s="56">
        <f>+$C$91*$N$77*M$24</f>
        <v>28.8</v>
      </c>
      <c r="N117" s="56">
        <f>+$C$91*$N$77*N$24</f>
        <v>72</v>
      </c>
      <c r="O117" s="56">
        <f>+$C$91*$N$77*O$24</f>
        <v>72</v>
      </c>
      <c r="P117" s="56">
        <f>+$C$91*$N$77*P$24</f>
        <v>144</v>
      </c>
      <c r="Q117" s="57">
        <f>SUM(L117:P117)</f>
        <v>316.8</v>
      </c>
      <c r="R117" s="57">
        <f t="shared" si="19"/>
        <v>796.8</v>
      </c>
    </row>
    <row r="118" spans="1:18" ht="12.75" customHeight="1">
      <c r="A118" s="18" t="s">
        <v>83</v>
      </c>
      <c r="B118" s="34" t="s">
        <v>56</v>
      </c>
      <c r="C118" s="20">
        <f aca="true" t="shared" si="22" ref="C118:H118">SUM(C116:C117)</f>
        <v>0</v>
      </c>
      <c r="D118" s="20">
        <f t="shared" si="22"/>
        <v>134.4</v>
      </c>
      <c r="E118" s="20">
        <f t="shared" si="22"/>
        <v>57.6</v>
      </c>
      <c r="F118" s="20">
        <f t="shared" si="22"/>
        <v>96</v>
      </c>
      <c r="G118" s="20">
        <f t="shared" si="22"/>
        <v>192</v>
      </c>
      <c r="H118" s="20">
        <f t="shared" si="22"/>
        <v>480</v>
      </c>
      <c r="J118" s="18" t="s">
        <v>83</v>
      </c>
      <c r="K118" s="34" t="s">
        <v>56</v>
      </c>
      <c r="L118" s="20">
        <f aca="true" t="shared" si="23" ref="L118:Q118">SUM(L116:L117)</f>
        <v>0</v>
      </c>
      <c r="M118" s="20">
        <f t="shared" si="23"/>
        <v>28.8</v>
      </c>
      <c r="N118" s="20">
        <f t="shared" si="23"/>
        <v>72</v>
      </c>
      <c r="O118" s="20">
        <f t="shared" si="23"/>
        <v>72</v>
      </c>
      <c r="P118" s="20">
        <f t="shared" si="23"/>
        <v>144</v>
      </c>
      <c r="Q118" s="20">
        <f t="shared" si="23"/>
        <v>316.8</v>
      </c>
      <c r="R118" s="20">
        <f t="shared" si="19"/>
        <v>796.8</v>
      </c>
    </row>
    <row r="119" spans="1:18" ht="12.75" customHeight="1">
      <c r="A119" s="15" t="s">
        <v>17</v>
      </c>
      <c r="B119" s="34"/>
      <c r="C119" s="20"/>
      <c r="D119" s="20"/>
      <c r="E119" s="20"/>
      <c r="F119" s="20"/>
      <c r="G119" s="20"/>
      <c r="H119" s="20"/>
      <c r="J119" s="15" t="s">
        <v>17</v>
      </c>
      <c r="K119" s="34"/>
      <c r="L119" s="20"/>
      <c r="M119" s="20"/>
      <c r="N119" s="20"/>
      <c r="O119" s="20"/>
      <c r="P119" s="20"/>
      <c r="Q119" s="20"/>
      <c r="R119" s="57"/>
    </row>
    <row r="120" spans="1:18" ht="12.75" customHeight="1">
      <c r="A120" s="16" t="s">
        <v>76</v>
      </c>
      <c r="B120" s="34" t="s">
        <v>84</v>
      </c>
      <c r="C120" s="56">
        <f aca="true" t="shared" si="24" ref="C120:G121">+C96+C100+C104+C108+C116+C112</f>
        <v>3744</v>
      </c>
      <c r="D120" s="56">
        <f t="shared" si="24"/>
        <v>26.88</v>
      </c>
      <c r="E120" s="56">
        <f t="shared" si="24"/>
        <v>11.52</v>
      </c>
      <c r="F120" s="56">
        <f t="shared" si="24"/>
        <v>13459.199999999999</v>
      </c>
      <c r="G120" s="56">
        <f t="shared" si="24"/>
        <v>26918.399999999998</v>
      </c>
      <c r="H120" s="57">
        <f t="shared" si="18"/>
        <v>44160</v>
      </c>
      <c r="J120" s="16" t="s">
        <v>76</v>
      </c>
      <c r="K120" s="34" t="s">
        <v>84</v>
      </c>
      <c r="L120" s="56">
        <f aca="true" t="shared" si="25" ref="L120:Q121">+L96+L100+L104+L108+L116+L112</f>
        <v>5696.64</v>
      </c>
      <c r="M120" s="56">
        <f t="shared" si="25"/>
        <v>5.76</v>
      </c>
      <c r="N120" s="56">
        <f t="shared" si="25"/>
        <v>14.4</v>
      </c>
      <c r="O120" s="56">
        <f t="shared" si="25"/>
        <v>1022.3999999999999</v>
      </c>
      <c r="P120" s="56">
        <f t="shared" si="25"/>
        <v>2044.7999999999997</v>
      </c>
      <c r="Q120" s="56">
        <f t="shared" si="25"/>
        <v>8784</v>
      </c>
      <c r="R120" s="57">
        <f t="shared" si="19"/>
        <v>52944</v>
      </c>
    </row>
    <row r="121" spans="1:18" ht="12.75" customHeight="1">
      <c r="A121" s="17" t="s">
        <v>77</v>
      </c>
      <c r="B121" s="34" t="s">
        <v>84</v>
      </c>
      <c r="C121" s="56">
        <f t="shared" si="24"/>
        <v>22464</v>
      </c>
      <c r="D121" s="56">
        <f t="shared" si="24"/>
        <v>833.28</v>
      </c>
      <c r="E121" s="56">
        <f t="shared" si="24"/>
        <v>357.12</v>
      </c>
      <c r="F121" s="56">
        <f t="shared" si="24"/>
        <v>14035.199999999997</v>
      </c>
      <c r="G121" s="56">
        <f t="shared" si="24"/>
        <v>28070.399999999994</v>
      </c>
      <c r="H121" s="57">
        <f t="shared" si="18"/>
        <v>65759.99999999999</v>
      </c>
      <c r="J121" s="17" t="s">
        <v>77</v>
      </c>
      <c r="K121" s="34" t="s">
        <v>84</v>
      </c>
      <c r="L121" s="56">
        <f t="shared" si="25"/>
        <v>34179.840000000004</v>
      </c>
      <c r="M121" s="56">
        <f t="shared" si="25"/>
        <v>178.56</v>
      </c>
      <c r="N121" s="56">
        <f t="shared" si="25"/>
        <v>446.4</v>
      </c>
      <c r="O121" s="56">
        <f t="shared" si="25"/>
        <v>1454.3999999999999</v>
      </c>
      <c r="P121" s="56">
        <f t="shared" si="25"/>
        <v>2908.7999999999997</v>
      </c>
      <c r="Q121" s="56">
        <f t="shared" si="25"/>
        <v>39168</v>
      </c>
      <c r="R121" s="57">
        <f t="shared" si="19"/>
        <v>104927.99999999999</v>
      </c>
    </row>
    <row r="122" spans="1:18" ht="12.75" customHeight="1">
      <c r="A122" s="18" t="s">
        <v>85</v>
      </c>
      <c r="B122" s="34" t="s">
        <v>84</v>
      </c>
      <c r="C122" s="20">
        <f aca="true" t="shared" si="26" ref="C122:H122">SUM(C120:C121)</f>
        <v>26208</v>
      </c>
      <c r="D122" s="20">
        <f t="shared" si="26"/>
        <v>860.16</v>
      </c>
      <c r="E122" s="20">
        <f t="shared" si="26"/>
        <v>368.64</v>
      </c>
      <c r="F122" s="20">
        <f t="shared" si="26"/>
        <v>27494.399999999994</v>
      </c>
      <c r="G122" s="20">
        <f t="shared" si="26"/>
        <v>54988.79999999999</v>
      </c>
      <c r="H122" s="20">
        <f t="shared" si="26"/>
        <v>109919.99999999999</v>
      </c>
      <c r="J122" s="18" t="s">
        <v>85</v>
      </c>
      <c r="K122" s="34" t="s">
        <v>84</v>
      </c>
      <c r="L122" s="20">
        <f aca="true" t="shared" si="27" ref="L122:Q122">SUM(L120:L121)</f>
        <v>39876.48</v>
      </c>
      <c r="M122" s="20">
        <f t="shared" si="27"/>
        <v>184.32</v>
      </c>
      <c r="N122" s="20">
        <f t="shared" si="27"/>
        <v>460.79999999999995</v>
      </c>
      <c r="O122" s="20">
        <f t="shared" si="27"/>
        <v>2476.7999999999997</v>
      </c>
      <c r="P122" s="20">
        <f t="shared" si="27"/>
        <v>4953.599999999999</v>
      </c>
      <c r="Q122" s="20">
        <f t="shared" si="27"/>
        <v>47952</v>
      </c>
      <c r="R122" s="20">
        <f t="shared" si="19"/>
        <v>157872</v>
      </c>
    </row>
    <row r="123" spans="1:18" ht="12.75" customHeight="1">
      <c r="A123" s="2" t="s">
        <v>9</v>
      </c>
      <c r="B123" s="25" t="s">
        <v>4</v>
      </c>
      <c r="C123" s="63"/>
      <c r="D123" s="63"/>
      <c r="E123" s="63"/>
      <c r="F123" s="63"/>
      <c r="G123" s="63"/>
      <c r="H123" s="22">
        <f>0.1233*H122</f>
        <v>13553.135999999999</v>
      </c>
      <c r="J123" s="15" t="s">
        <v>9</v>
      </c>
      <c r="K123" s="16" t="s">
        <v>4</v>
      </c>
      <c r="L123" s="85">
        <f>0.1233*L122</f>
        <v>4916.7699840000005</v>
      </c>
      <c r="M123" s="85">
        <f aca="true" t="shared" si="28" ref="M123:R123">0.1233*M122</f>
        <v>22.726656000000002</v>
      </c>
      <c r="N123" s="85">
        <f t="shared" si="28"/>
        <v>56.81664</v>
      </c>
      <c r="O123" s="85">
        <f t="shared" si="28"/>
        <v>305.38944</v>
      </c>
      <c r="P123" s="85">
        <f t="shared" si="28"/>
        <v>610.77888</v>
      </c>
      <c r="Q123" s="85">
        <f t="shared" si="28"/>
        <v>5912.4816</v>
      </c>
      <c r="R123" s="63">
        <f t="shared" si="28"/>
        <v>19465.6176</v>
      </c>
    </row>
    <row r="124" spans="1:18" ht="12.75" customHeight="1">
      <c r="A124" s="23" t="s">
        <v>113</v>
      </c>
      <c r="B124" s="119">
        <f>+'PMC 01'!B120</f>
        <v>0.2</v>
      </c>
      <c r="C124" s="60" t="s">
        <v>86</v>
      </c>
      <c r="D124" s="60"/>
      <c r="E124" s="34"/>
      <c r="F124" s="34"/>
      <c r="G124" s="34"/>
      <c r="H124" s="34"/>
      <c r="J124" s="15" t="s">
        <v>113</v>
      </c>
      <c r="K124" s="98">
        <v>0.2</v>
      </c>
      <c r="L124" s="34" t="s">
        <v>86</v>
      </c>
      <c r="M124" s="34"/>
      <c r="N124" s="34"/>
      <c r="O124" s="34"/>
      <c r="P124" s="34"/>
      <c r="Q124" s="34"/>
      <c r="R124" s="57"/>
    </row>
    <row r="125" spans="1:18" ht="12.75" customHeight="1">
      <c r="A125" s="16" t="s">
        <v>76</v>
      </c>
      <c r="B125" s="61" t="s">
        <v>4</v>
      </c>
      <c r="C125" s="62">
        <f>+$C$90*$C$77*C61*$B124</f>
        <v>0</v>
      </c>
      <c r="D125" s="63">
        <f>+$C$90*$C$77*D61*$B124</f>
        <v>0</v>
      </c>
      <c r="E125" s="63">
        <f>+$C$90*$C$77*E61*$B124</f>
        <v>0</v>
      </c>
      <c r="F125" s="63">
        <f>+$C$90*$C$77*F61*$B124</f>
        <v>0</v>
      </c>
      <c r="G125" s="63">
        <f>+$C$90*$C$77*G61*$B124</f>
        <v>0</v>
      </c>
      <c r="H125" s="57">
        <f>SUM(C125:G125)</f>
        <v>0</v>
      </c>
      <c r="J125" s="16" t="s">
        <v>76</v>
      </c>
      <c r="K125" s="34" t="s">
        <v>4</v>
      </c>
      <c r="L125" s="63">
        <f>+$C$91*$L$77*L61*$B124</f>
        <v>0</v>
      </c>
      <c r="M125" s="63">
        <f>+$C$91*$L$77*M61*$B124</f>
        <v>0</v>
      </c>
      <c r="N125" s="63">
        <f>+$C$91*$L$77*N61*$B124</f>
        <v>0</v>
      </c>
      <c r="O125" s="63">
        <f>+$C$91*$L$77*O61*$B124</f>
        <v>0</v>
      </c>
      <c r="P125" s="63">
        <f>+$C$91*$L$77*P61*$B124</f>
        <v>0</v>
      </c>
      <c r="Q125" s="57">
        <f>SUM(L125:P125)</f>
        <v>0</v>
      </c>
      <c r="R125" s="57">
        <f t="shared" si="19"/>
        <v>0</v>
      </c>
    </row>
    <row r="126" spans="1:18" ht="12.75" customHeight="1">
      <c r="A126" s="17" t="s">
        <v>77</v>
      </c>
      <c r="B126" s="34" t="s">
        <v>4</v>
      </c>
      <c r="C126" s="63">
        <f>+$C$90*$E$77*C61*$B124</f>
        <v>3798.696466115703</v>
      </c>
      <c r="D126" s="63">
        <f>+$C$90*$E$77*D61*$B124</f>
        <v>19.803839999999997</v>
      </c>
      <c r="E126" s="63">
        <f>+$C$90*$E$77*E61*$B124</f>
        <v>8.48736</v>
      </c>
      <c r="F126" s="63">
        <f>+$C$90*$E$77*F61*$B124</f>
        <v>4.337444628099174</v>
      </c>
      <c r="G126" s="63">
        <f>+$C$90*$E$77*G61*$B124</f>
        <v>8.674889256198348</v>
      </c>
      <c r="H126" s="57">
        <f>SUM(C126:G126)</f>
        <v>3840.0000000000005</v>
      </c>
      <c r="J126" s="17" t="s">
        <v>77</v>
      </c>
      <c r="K126" s="34" t="s">
        <v>4</v>
      </c>
      <c r="L126" s="63">
        <f>+$C$91*$N$77*L61*$B124</f>
        <v>5724.272326611571</v>
      </c>
      <c r="M126" s="63">
        <f>+$C$91*$N$77*M61*$B124</f>
        <v>4.2436799999999995</v>
      </c>
      <c r="N126" s="63">
        <f>+$C$91*$N$77*N61*$B124</f>
        <v>10.6092</v>
      </c>
      <c r="O126" s="63">
        <f>+$C$91*$N$77*O61*$B124</f>
        <v>6.958264462809919</v>
      </c>
      <c r="P126" s="63">
        <f>+$C$91*$N$77*P61*$B124</f>
        <v>13.916528925619838</v>
      </c>
      <c r="Q126" s="57">
        <f>SUM(L126:P126)</f>
        <v>5760</v>
      </c>
      <c r="R126" s="57">
        <f t="shared" si="19"/>
        <v>9600</v>
      </c>
    </row>
    <row r="127" spans="1:18" ht="12.75" customHeight="1">
      <c r="A127" s="18" t="s">
        <v>87</v>
      </c>
      <c r="B127" s="34" t="s">
        <v>4</v>
      </c>
      <c r="C127" s="20">
        <f aca="true" t="shared" si="29" ref="C127:H127">SUM(C125:C126)</f>
        <v>3798.696466115703</v>
      </c>
      <c r="D127" s="20">
        <f t="shared" si="29"/>
        <v>19.803839999999997</v>
      </c>
      <c r="E127" s="20">
        <f t="shared" si="29"/>
        <v>8.48736</v>
      </c>
      <c r="F127" s="20">
        <f t="shared" si="29"/>
        <v>4.337444628099174</v>
      </c>
      <c r="G127" s="20">
        <f t="shared" si="29"/>
        <v>8.674889256198348</v>
      </c>
      <c r="H127" s="20">
        <f t="shared" si="29"/>
        <v>3840.0000000000005</v>
      </c>
      <c r="J127" s="18" t="s">
        <v>87</v>
      </c>
      <c r="K127" s="34" t="s">
        <v>4</v>
      </c>
      <c r="L127" s="20">
        <f aca="true" t="shared" si="30" ref="L127:Q127">SUM(L125:L126)</f>
        <v>5724.272326611571</v>
      </c>
      <c r="M127" s="20">
        <f t="shared" si="30"/>
        <v>4.2436799999999995</v>
      </c>
      <c r="N127" s="20">
        <f t="shared" si="30"/>
        <v>10.6092</v>
      </c>
      <c r="O127" s="20">
        <f t="shared" si="30"/>
        <v>6.958264462809919</v>
      </c>
      <c r="P127" s="20">
        <f t="shared" si="30"/>
        <v>13.916528925619838</v>
      </c>
      <c r="Q127" s="20">
        <f t="shared" si="30"/>
        <v>5760</v>
      </c>
      <c r="R127" s="20">
        <f t="shared" si="19"/>
        <v>9600</v>
      </c>
    </row>
    <row r="128" spans="1:18" ht="12.75" customHeight="1">
      <c r="A128" s="21" t="s">
        <v>146</v>
      </c>
      <c r="B128" s="34"/>
      <c r="C128" s="20"/>
      <c r="D128" s="20"/>
      <c r="E128" s="20"/>
      <c r="F128" s="20"/>
      <c r="G128" s="20"/>
      <c r="H128" s="20"/>
      <c r="J128" s="21" t="s">
        <v>146</v>
      </c>
      <c r="K128" s="34"/>
      <c r="L128" s="20"/>
      <c r="M128" s="20"/>
      <c r="N128" s="20"/>
      <c r="O128" s="20"/>
      <c r="P128" s="20"/>
      <c r="Q128" s="20"/>
      <c r="R128" s="57"/>
    </row>
    <row r="129" spans="1:18" ht="12.75" customHeight="1">
      <c r="A129" s="16" t="s">
        <v>76</v>
      </c>
      <c r="B129" s="34" t="s">
        <v>4</v>
      </c>
      <c r="C129" s="58"/>
      <c r="D129" s="58">
        <f>+$B$124*$C$90*$C78*D33</f>
        <v>0</v>
      </c>
      <c r="E129" s="58">
        <f>+$B$124*$C$90*$C78*E33</f>
        <v>0</v>
      </c>
      <c r="F129" s="58">
        <f>+$B$124*$C$90*$C78*F33</f>
        <v>0</v>
      </c>
      <c r="G129" s="58">
        <f>+$B$124*$C$90*$C78*G33</f>
        <v>0</v>
      </c>
      <c r="H129" s="57">
        <f>SUM(C129:G129)</f>
        <v>0</v>
      </c>
      <c r="J129" s="16" t="s">
        <v>76</v>
      </c>
      <c r="K129" s="34" t="s">
        <v>4</v>
      </c>
      <c r="L129" s="58"/>
      <c r="M129" s="58">
        <f>+$B$124*$C$91*$L78*M33</f>
        <v>0</v>
      </c>
      <c r="N129" s="58">
        <f>+$B$124*$C$91*$L78*N33</f>
        <v>0</v>
      </c>
      <c r="O129" s="58">
        <f>+$B$124*$C$91*$L78*O33</f>
        <v>0</v>
      </c>
      <c r="P129" s="58">
        <f>+$B$124*$C$91*$L78*P33</f>
        <v>0</v>
      </c>
      <c r="Q129" s="57">
        <f>SUM(L129:P129)</f>
        <v>0</v>
      </c>
      <c r="R129" s="57">
        <f t="shared" si="19"/>
        <v>0</v>
      </c>
    </row>
    <row r="130" spans="1:18" ht="12.75" customHeight="1">
      <c r="A130" s="17" t="s">
        <v>77</v>
      </c>
      <c r="B130" s="34" t="s">
        <v>4</v>
      </c>
      <c r="C130" s="58"/>
      <c r="D130" s="57">
        <f>+$B$124*$C$90*$E78*D33</f>
        <v>91.06943999999999</v>
      </c>
      <c r="E130" s="57">
        <f>+$B$124*$C$90*$E78*E33</f>
        <v>39.029759999999996</v>
      </c>
      <c r="F130" s="57">
        <f>+$B$124*$C$90*$E78*F33</f>
        <v>37.99680000000001</v>
      </c>
      <c r="G130" s="57">
        <f>+$B$124*$C$90*$E78*G33</f>
        <v>75.99360000000001</v>
      </c>
      <c r="H130" s="57">
        <f>SUM(C130:G130)</f>
        <v>244.08960000000002</v>
      </c>
      <c r="J130" s="17" t="s">
        <v>77</v>
      </c>
      <c r="K130" s="34" t="s">
        <v>4</v>
      </c>
      <c r="L130" s="58"/>
      <c r="M130" s="58">
        <f>+$B$124*$C$91*$N78*M33</f>
        <v>19.514879999999998</v>
      </c>
      <c r="N130" s="58">
        <f>+$B$124*$C$91*$N78*N33</f>
        <v>48.78719999999999</v>
      </c>
      <c r="O130" s="58">
        <f>+$B$124*$C$91*$N78*O33</f>
        <v>38.88</v>
      </c>
      <c r="P130" s="58">
        <f>+$B$124*$C$91*$N78*P33</f>
        <v>77.76</v>
      </c>
      <c r="Q130" s="57">
        <f>SUM(L130:P130)</f>
        <v>184.94207999999998</v>
      </c>
      <c r="R130" s="57">
        <f t="shared" si="19"/>
        <v>429.03168</v>
      </c>
    </row>
    <row r="131" spans="1:18" ht="12.75" customHeight="1">
      <c r="A131" s="18" t="s">
        <v>88</v>
      </c>
      <c r="B131" s="34" t="s">
        <v>4</v>
      </c>
      <c r="C131" s="20">
        <f aca="true" t="shared" si="31" ref="C131:H131">SUM(C129:C130)</f>
        <v>0</v>
      </c>
      <c r="D131" s="20">
        <f t="shared" si="31"/>
        <v>91.06943999999999</v>
      </c>
      <c r="E131" s="20">
        <f t="shared" si="31"/>
        <v>39.029759999999996</v>
      </c>
      <c r="F131" s="20">
        <f t="shared" si="31"/>
        <v>37.99680000000001</v>
      </c>
      <c r="G131" s="20">
        <f t="shared" si="31"/>
        <v>75.99360000000001</v>
      </c>
      <c r="H131" s="20">
        <f t="shared" si="31"/>
        <v>244.08960000000002</v>
      </c>
      <c r="J131" s="18" t="s">
        <v>88</v>
      </c>
      <c r="K131" s="34" t="s">
        <v>4</v>
      </c>
      <c r="L131" s="20">
        <f aca="true" t="shared" si="32" ref="L131:Q131">SUM(L129:L130)</f>
        <v>0</v>
      </c>
      <c r="M131" s="20">
        <f t="shared" si="32"/>
        <v>19.514879999999998</v>
      </c>
      <c r="N131" s="20">
        <f t="shared" si="32"/>
        <v>48.78719999999999</v>
      </c>
      <c r="O131" s="20">
        <f t="shared" si="32"/>
        <v>38.88</v>
      </c>
      <c r="P131" s="20">
        <f t="shared" si="32"/>
        <v>77.76</v>
      </c>
      <c r="Q131" s="20">
        <f t="shared" si="32"/>
        <v>184.94207999999998</v>
      </c>
      <c r="R131" s="20">
        <f t="shared" si="19"/>
        <v>429.03168</v>
      </c>
    </row>
    <row r="132" spans="1:18" ht="12.75" customHeight="1">
      <c r="A132" s="15" t="s">
        <v>154</v>
      </c>
      <c r="B132" s="34"/>
      <c r="C132" s="20"/>
      <c r="D132" s="20"/>
      <c r="E132" s="20"/>
      <c r="F132" s="20"/>
      <c r="G132" s="20"/>
      <c r="H132" s="20"/>
      <c r="J132" s="15" t="s">
        <v>154</v>
      </c>
      <c r="K132" s="34"/>
      <c r="L132" s="20"/>
      <c r="M132" s="20"/>
      <c r="N132" s="20"/>
      <c r="O132" s="20"/>
      <c r="P132" s="20"/>
      <c r="Q132" s="20"/>
      <c r="R132" s="57"/>
    </row>
    <row r="133" spans="1:18" ht="12.75" customHeight="1">
      <c r="A133" s="16" t="s">
        <v>76</v>
      </c>
      <c r="B133" s="34" t="s">
        <v>4</v>
      </c>
      <c r="C133" s="63"/>
      <c r="D133" s="63"/>
      <c r="E133" s="63"/>
      <c r="F133" s="63">
        <f>+$C$90*$C$80*F$36*$B$124</f>
        <v>1570.1157024793392</v>
      </c>
      <c r="G133" s="63">
        <f>+$C$90*$C$80*G$36*$B$124</f>
        <v>3140.2314049586785</v>
      </c>
      <c r="H133" s="57">
        <f>SUM(C133:G133)</f>
        <v>4710.347107438018</v>
      </c>
      <c r="J133" s="16" t="s">
        <v>76</v>
      </c>
      <c r="K133" s="34" t="s">
        <v>4</v>
      </c>
      <c r="L133" s="63"/>
      <c r="M133" s="63"/>
      <c r="N133" s="63"/>
      <c r="O133" s="63"/>
      <c r="P133" s="63"/>
      <c r="Q133" s="57"/>
      <c r="R133" s="57">
        <f t="shared" si="19"/>
        <v>4710.347107438018</v>
      </c>
    </row>
    <row r="134" spans="1:18" ht="12.75" customHeight="1">
      <c r="A134" s="17" t="s">
        <v>77</v>
      </c>
      <c r="B134" s="34" t="s">
        <v>4</v>
      </c>
      <c r="C134" s="63"/>
      <c r="D134" s="63"/>
      <c r="E134" s="63"/>
      <c r="F134" s="63">
        <f>+$C$90*$E$80*F$36*$B$124</f>
        <v>1570.115702479339</v>
      </c>
      <c r="G134" s="63">
        <f>+$C$90*$E$80*G$36*$B$124</f>
        <v>3140.231404958678</v>
      </c>
      <c r="H134" s="57">
        <f>SUM(C134:G134)</f>
        <v>4710.347107438017</v>
      </c>
      <c r="J134" s="17" t="s">
        <v>77</v>
      </c>
      <c r="K134" s="34" t="s">
        <v>4</v>
      </c>
      <c r="L134" s="63"/>
      <c r="M134" s="63"/>
      <c r="N134" s="63"/>
      <c r="O134" s="63"/>
      <c r="P134" s="63"/>
      <c r="Q134" s="57"/>
      <c r="R134" s="57">
        <f t="shared" si="19"/>
        <v>4710.347107438017</v>
      </c>
    </row>
    <row r="135" spans="1:18" ht="12.75" customHeight="1">
      <c r="A135" s="18" t="s">
        <v>89</v>
      </c>
      <c r="B135" s="34" t="s">
        <v>4</v>
      </c>
      <c r="C135" s="20">
        <f aca="true" t="shared" si="33" ref="C135:H135">SUM(C133:C134)</f>
        <v>0</v>
      </c>
      <c r="D135" s="20">
        <f t="shared" si="33"/>
        <v>0</v>
      </c>
      <c r="E135" s="20">
        <f t="shared" si="33"/>
        <v>0</v>
      </c>
      <c r="F135" s="20">
        <f t="shared" si="33"/>
        <v>3140.2314049586785</v>
      </c>
      <c r="G135" s="20">
        <f t="shared" si="33"/>
        <v>6280.462809917357</v>
      </c>
      <c r="H135" s="20">
        <f t="shared" si="33"/>
        <v>9420.694214876035</v>
      </c>
      <c r="J135" s="18" t="s">
        <v>89</v>
      </c>
      <c r="K135" s="34" t="s">
        <v>4</v>
      </c>
      <c r="L135" s="20"/>
      <c r="M135" s="20"/>
      <c r="N135" s="20"/>
      <c r="O135" s="20"/>
      <c r="P135" s="20"/>
      <c r="Q135" s="20"/>
      <c r="R135" s="20">
        <f t="shared" si="19"/>
        <v>9420.694214876035</v>
      </c>
    </row>
    <row r="136" spans="1:18" ht="12.75" customHeight="1">
      <c r="A136" s="15" t="s">
        <v>149</v>
      </c>
      <c r="B136" s="34"/>
      <c r="C136" s="20"/>
      <c r="D136" s="20"/>
      <c r="E136" s="20"/>
      <c r="F136" s="20"/>
      <c r="G136" s="20"/>
      <c r="H136" s="20"/>
      <c r="J136" s="15" t="s">
        <v>149</v>
      </c>
      <c r="K136" s="34"/>
      <c r="L136" s="20"/>
      <c r="M136" s="20"/>
      <c r="N136" s="20"/>
      <c r="O136" s="20"/>
      <c r="P136" s="20"/>
      <c r="Q136" s="20"/>
      <c r="R136" s="20"/>
    </row>
    <row r="137" spans="1:18" ht="12.75" customHeight="1">
      <c r="A137" s="16" t="s">
        <v>76</v>
      </c>
      <c r="B137" s="34" t="s">
        <v>4</v>
      </c>
      <c r="C137" s="20"/>
      <c r="D137" s="20"/>
      <c r="E137" s="20"/>
      <c r="F137" s="20"/>
      <c r="G137" s="20"/>
      <c r="H137" s="20"/>
      <c r="J137" s="16" t="s">
        <v>76</v>
      </c>
      <c r="K137" s="34" t="s">
        <v>4</v>
      </c>
      <c r="L137" s="20"/>
      <c r="M137" s="20"/>
      <c r="N137" s="20"/>
      <c r="O137" s="63">
        <f>+$C$91*$L$79*O$36*$B$124</f>
        <v>160.6611570247934</v>
      </c>
      <c r="P137" s="63">
        <f>+$C$91*$L$79*P$36*$B$124</f>
        <v>321.3223140495868</v>
      </c>
      <c r="Q137" s="57">
        <f>SUM(L137:P137)</f>
        <v>481.9834710743802</v>
      </c>
      <c r="R137" s="57">
        <f t="shared" si="19"/>
        <v>481.9834710743802</v>
      </c>
    </row>
    <row r="138" spans="1:18" ht="12.75" customHeight="1">
      <c r="A138" s="17" t="s">
        <v>77</v>
      </c>
      <c r="B138" s="34" t="s">
        <v>4</v>
      </c>
      <c r="C138" s="20"/>
      <c r="D138" s="20"/>
      <c r="E138" s="20"/>
      <c r="F138" s="20"/>
      <c r="G138" s="20"/>
      <c r="H138" s="20"/>
      <c r="J138" s="17" t="s">
        <v>77</v>
      </c>
      <c r="K138" s="34" t="s">
        <v>4</v>
      </c>
      <c r="L138" s="20"/>
      <c r="M138" s="20"/>
      <c r="N138" s="20"/>
      <c r="O138" s="63">
        <f>+$C$91*$N$79*O$36*$B$124</f>
        <v>160.6611570247934</v>
      </c>
      <c r="P138" s="63">
        <f>+$C$91*$N$79*P$36*$B$124</f>
        <v>321.3223140495868</v>
      </c>
      <c r="Q138" s="57">
        <f>SUM(L138:P138)</f>
        <v>481.9834710743802</v>
      </c>
      <c r="R138" s="57">
        <f t="shared" si="19"/>
        <v>481.9834710743802</v>
      </c>
    </row>
    <row r="139" spans="1:18" ht="12.75" customHeight="1">
      <c r="A139" s="18" t="s">
        <v>89</v>
      </c>
      <c r="B139" s="34" t="s">
        <v>4</v>
      </c>
      <c r="C139" s="20"/>
      <c r="D139" s="20"/>
      <c r="E139" s="20"/>
      <c r="F139" s="20"/>
      <c r="G139" s="20"/>
      <c r="H139" s="20"/>
      <c r="J139" s="18" t="s">
        <v>89</v>
      </c>
      <c r="K139" s="34" t="s">
        <v>4</v>
      </c>
      <c r="L139" s="20"/>
      <c r="M139" s="20"/>
      <c r="N139" s="20"/>
      <c r="O139" s="20">
        <f>SUM(O137:O138)</f>
        <v>321.3223140495868</v>
      </c>
      <c r="P139" s="20">
        <f>SUM(P137:P138)</f>
        <v>642.6446280991736</v>
      </c>
      <c r="Q139" s="20">
        <f>SUM(Q137:Q138)</f>
        <v>963.9669421487604</v>
      </c>
      <c r="R139" s="20">
        <f t="shared" si="19"/>
        <v>963.9669421487604</v>
      </c>
    </row>
    <row r="140" spans="1:18" ht="12.75" customHeight="1">
      <c r="A140" s="17" t="s">
        <v>19</v>
      </c>
      <c r="B140" s="34"/>
      <c r="C140" s="20"/>
      <c r="D140" s="20"/>
      <c r="E140" s="20"/>
      <c r="F140" s="20"/>
      <c r="G140" s="20"/>
      <c r="H140" s="20"/>
      <c r="J140" s="17" t="s">
        <v>19</v>
      </c>
      <c r="K140" s="34"/>
      <c r="L140" s="20"/>
      <c r="M140" s="20"/>
      <c r="N140" s="20"/>
      <c r="O140" s="20"/>
      <c r="P140" s="20"/>
      <c r="Q140" s="20"/>
      <c r="R140" s="57"/>
    </row>
    <row r="141" spans="1:18" ht="12.75" customHeight="1">
      <c r="A141" s="16" t="s">
        <v>76</v>
      </c>
      <c r="B141" s="34" t="s">
        <v>4</v>
      </c>
      <c r="C141" s="63"/>
      <c r="D141" s="63">
        <f>+$B$124*$C$90*$C$77*D$33</f>
        <v>0</v>
      </c>
      <c r="E141" s="63">
        <f>+$B$124*$C$90*$C$77*E$33</f>
        <v>0</v>
      </c>
      <c r="F141" s="63">
        <f>+$B$124*$C$90*$C$77*F$33</f>
        <v>0</v>
      </c>
      <c r="G141" s="63">
        <f>+$B$124*$C$90*$C$77*G$33</f>
        <v>0</v>
      </c>
      <c r="H141" s="57">
        <f>SUM(C141:G141)</f>
        <v>0</v>
      </c>
      <c r="J141" s="16" t="s">
        <v>76</v>
      </c>
      <c r="K141" s="34" t="s">
        <v>4</v>
      </c>
      <c r="L141" s="63"/>
      <c r="M141" s="63">
        <f>+$B$124*$C$91*$L$77*M$33</f>
        <v>0</v>
      </c>
      <c r="N141" s="63">
        <f>+$B$124*$C$91*$L$77*N$33</f>
        <v>0</v>
      </c>
      <c r="O141" s="63">
        <f>+$B$124*$C$91*$L$77*O$33</f>
        <v>0</v>
      </c>
      <c r="P141" s="63">
        <f>+$B$124*$C$91*$L$77*P$33</f>
        <v>0</v>
      </c>
      <c r="Q141" s="57">
        <f>SUM(L141:P141)</f>
        <v>0</v>
      </c>
      <c r="R141" s="57">
        <f t="shared" si="19"/>
        <v>0</v>
      </c>
    </row>
    <row r="142" spans="1:18" ht="12.75" customHeight="1">
      <c r="A142" s="17" t="s">
        <v>77</v>
      </c>
      <c r="B142" s="34" t="s">
        <v>4</v>
      </c>
      <c r="C142" s="63"/>
      <c r="D142" s="63">
        <f>+$B$124*$C$90*$E$77*D$33</f>
        <v>22.767359999999996</v>
      </c>
      <c r="E142" s="63">
        <f>+$B$124*$C$90*$E$77*E$33</f>
        <v>9.757439999999999</v>
      </c>
      <c r="F142" s="63">
        <f>+$B$124*$C$90*$E$77*F$33</f>
        <v>9.499200000000002</v>
      </c>
      <c r="G142" s="63">
        <f>+$B$124*$C$90*$E$77*G$33</f>
        <v>18.998400000000004</v>
      </c>
      <c r="H142" s="57">
        <f>SUM(C142:G142)</f>
        <v>61.022400000000005</v>
      </c>
      <c r="J142" s="17" t="s">
        <v>77</v>
      </c>
      <c r="K142" s="34" t="s">
        <v>4</v>
      </c>
      <c r="L142" s="63"/>
      <c r="M142" s="63">
        <f>+$B$124*$C$91*$N$77*M$33</f>
        <v>4.8787199999999995</v>
      </c>
      <c r="N142" s="63">
        <f>+$B$124*$C$91*$N$77*N$33</f>
        <v>12.196799999999998</v>
      </c>
      <c r="O142" s="63">
        <f>+$B$124*$C$91*$N$77*O$33</f>
        <v>9.72</v>
      </c>
      <c r="P142" s="63">
        <f>+$B$124*$C$91*$N$77*P$33</f>
        <v>19.44</v>
      </c>
      <c r="Q142" s="57">
        <f>SUM(L142:P142)</f>
        <v>46.235519999999994</v>
      </c>
      <c r="R142" s="57">
        <f t="shared" si="19"/>
        <v>107.25792</v>
      </c>
    </row>
    <row r="143" spans="1:18" ht="12.75" customHeight="1">
      <c r="A143" s="18" t="s">
        <v>90</v>
      </c>
      <c r="B143" s="34" t="s">
        <v>4</v>
      </c>
      <c r="C143" s="22">
        <f aca="true" t="shared" si="34" ref="C143:H143">SUM(C141:C142)</f>
        <v>0</v>
      </c>
      <c r="D143" s="22">
        <f t="shared" si="34"/>
        <v>22.767359999999996</v>
      </c>
      <c r="E143" s="22">
        <f t="shared" si="34"/>
        <v>9.757439999999999</v>
      </c>
      <c r="F143" s="22">
        <f t="shared" si="34"/>
        <v>9.499200000000002</v>
      </c>
      <c r="G143" s="22">
        <f t="shared" si="34"/>
        <v>18.998400000000004</v>
      </c>
      <c r="H143" s="20">
        <f t="shared" si="34"/>
        <v>61.022400000000005</v>
      </c>
      <c r="J143" s="18" t="s">
        <v>90</v>
      </c>
      <c r="K143" s="34" t="s">
        <v>4</v>
      </c>
      <c r="L143" s="22">
        <f aca="true" t="shared" si="35" ref="L143:Q143">SUM(L141:L142)</f>
        <v>0</v>
      </c>
      <c r="M143" s="22">
        <f t="shared" si="35"/>
        <v>4.8787199999999995</v>
      </c>
      <c r="N143" s="22">
        <f t="shared" si="35"/>
        <v>12.196799999999998</v>
      </c>
      <c r="O143" s="22">
        <f t="shared" si="35"/>
        <v>9.72</v>
      </c>
      <c r="P143" s="22">
        <f t="shared" si="35"/>
        <v>19.44</v>
      </c>
      <c r="Q143" s="20">
        <f t="shared" si="35"/>
        <v>46.235519999999994</v>
      </c>
      <c r="R143" s="20">
        <f t="shared" si="19"/>
        <v>107.25792</v>
      </c>
    </row>
    <row r="144" spans="1:18" ht="12.75" customHeight="1">
      <c r="A144" s="15" t="s">
        <v>20</v>
      </c>
      <c r="B144" s="34"/>
      <c r="C144" s="22"/>
      <c r="D144" s="22"/>
      <c r="E144" s="22"/>
      <c r="F144" s="22"/>
      <c r="G144" s="22"/>
      <c r="H144" s="20"/>
      <c r="J144" s="15" t="s">
        <v>20</v>
      </c>
      <c r="K144" s="34"/>
      <c r="L144" s="22"/>
      <c r="M144" s="22"/>
      <c r="N144" s="22"/>
      <c r="O144" s="22"/>
      <c r="P144" s="22"/>
      <c r="Q144" s="20"/>
      <c r="R144" s="57"/>
    </row>
    <row r="145" spans="1:18" ht="12.75" customHeight="1">
      <c r="A145" s="16" t="s">
        <v>76</v>
      </c>
      <c r="B145" s="34" t="s">
        <v>4</v>
      </c>
      <c r="C145" s="22">
        <f aca="true" t="shared" si="36" ref="C145:H147">+C125+C129+C133+C141+C137</f>
        <v>0</v>
      </c>
      <c r="D145" s="22">
        <f t="shared" si="36"/>
        <v>0</v>
      </c>
      <c r="E145" s="22">
        <f t="shared" si="36"/>
        <v>0</v>
      </c>
      <c r="F145" s="22">
        <f t="shared" si="36"/>
        <v>1570.1157024793392</v>
      </c>
      <c r="G145" s="22">
        <f t="shared" si="36"/>
        <v>3140.2314049586785</v>
      </c>
      <c r="H145" s="22">
        <f>+H125+H129+H133+H141</f>
        <v>4710.347107438018</v>
      </c>
      <c r="J145" s="16" t="s">
        <v>76</v>
      </c>
      <c r="K145" s="34" t="s">
        <v>4</v>
      </c>
      <c r="L145" s="22">
        <f aca="true" t="shared" si="37" ref="L145:Q146">+L125+L129+L133+L141+L137</f>
        <v>0</v>
      </c>
      <c r="M145" s="22">
        <f t="shared" si="37"/>
        <v>0</v>
      </c>
      <c r="N145" s="22">
        <f t="shared" si="37"/>
        <v>0</v>
      </c>
      <c r="O145" s="22">
        <f t="shared" si="37"/>
        <v>160.6611570247934</v>
      </c>
      <c r="P145" s="22">
        <f t="shared" si="37"/>
        <v>321.3223140495868</v>
      </c>
      <c r="Q145" s="22">
        <f t="shared" si="37"/>
        <v>481.9834710743802</v>
      </c>
      <c r="R145" s="57">
        <f t="shared" si="19"/>
        <v>5192.330578512398</v>
      </c>
    </row>
    <row r="146" spans="1:18" ht="12.75" customHeight="1">
      <c r="A146" s="17" t="s">
        <v>77</v>
      </c>
      <c r="B146" s="34" t="s">
        <v>4</v>
      </c>
      <c r="C146" s="22">
        <f t="shared" si="36"/>
        <v>3798.696466115703</v>
      </c>
      <c r="D146" s="22">
        <f t="shared" si="36"/>
        <v>133.64063999999996</v>
      </c>
      <c r="E146" s="22">
        <f t="shared" si="36"/>
        <v>57.274559999999994</v>
      </c>
      <c r="F146" s="22">
        <f t="shared" si="36"/>
        <v>1621.9491471074382</v>
      </c>
      <c r="G146" s="22">
        <f t="shared" si="36"/>
        <v>3243.8982942148764</v>
      </c>
      <c r="H146" s="22">
        <f>+H126+H130+H134+H142</f>
        <v>8855.459107438017</v>
      </c>
      <c r="J146" s="17" t="s">
        <v>77</v>
      </c>
      <c r="K146" s="34" t="s">
        <v>4</v>
      </c>
      <c r="L146" s="22">
        <f t="shared" si="37"/>
        <v>5724.272326611571</v>
      </c>
      <c r="M146" s="22">
        <f t="shared" si="37"/>
        <v>28.637279999999997</v>
      </c>
      <c r="N146" s="22">
        <f t="shared" si="37"/>
        <v>71.5932</v>
      </c>
      <c r="O146" s="22">
        <f t="shared" si="37"/>
        <v>216.2194214876033</v>
      </c>
      <c r="P146" s="22">
        <f t="shared" si="37"/>
        <v>432.4388429752066</v>
      </c>
      <c r="Q146" s="22">
        <f t="shared" si="37"/>
        <v>6473.16107107438</v>
      </c>
      <c r="R146" s="57">
        <f t="shared" si="19"/>
        <v>15328.620178512396</v>
      </c>
    </row>
    <row r="147" spans="1:18" ht="12.75" customHeight="1">
      <c r="A147" s="18" t="s">
        <v>90</v>
      </c>
      <c r="B147" s="34" t="s">
        <v>4</v>
      </c>
      <c r="C147" s="22">
        <f t="shared" si="36"/>
        <v>3798.696466115703</v>
      </c>
      <c r="D147" s="22">
        <f t="shared" si="36"/>
        <v>133.64063999999996</v>
      </c>
      <c r="E147" s="22">
        <f t="shared" si="36"/>
        <v>57.274559999999994</v>
      </c>
      <c r="F147" s="22">
        <f t="shared" si="36"/>
        <v>3192.0648495867777</v>
      </c>
      <c r="G147" s="22">
        <f t="shared" si="36"/>
        <v>6384.129699173555</v>
      </c>
      <c r="H147" s="22">
        <f t="shared" si="36"/>
        <v>13565.806214876035</v>
      </c>
      <c r="J147" s="18" t="s">
        <v>90</v>
      </c>
      <c r="K147" s="34" t="s">
        <v>4</v>
      </c>
      <c r="L147" s="22">
        <f aca="true" t="shared" si="38" ref="L147:Q147">SUM(L145:L146)</f>
        <v>5724.272326611571</v>
      </c>
      <c r="M147" s="22">
        <f t="shared" si="38"/>
        <v>28.637279999999997</v>
      </c>
      <c r="N147" s="22">
        <f t="shared" si="38"/>
        <v>71.5932</v>
      </c>
      <c r="O147" s="22">
        <f t="shared" si="38"/>
        <v>376.8805785123967</v>
      </c>
      <c r="P147" s="22">
        <f t="shared" si="38"/>
        <v>753.7611570247934</v>
      </c>
      <c r="Q147" s="22">
        <f t="shared" si="38"/>
        <v>6955.14454214876</v>
      </c>
      <c r="R147" s="20">
        <f t="shared" si="19"/>
        <v>20520.950757024795</v>
      </c>
    </row>
    <row r="148" spans="1:18" ht="12.75" customHeight="1">
      <c r="A148" s="14" t="s">
        <v>114</v>
      </c>
      <c r="B148" s="12" t="s">
        <v>4</v>
      </c>
      <c r="C148" s="22"/>
      <c r="D148" s="22"/>
      <c r="E148" s="22"/>
      <c r="F148" s="22"/>
      <c r="G148" s="22"/>
      <c r="H148" s="22">
        <f>+H147+H123</f>
        <v>27118.942214876035</v>
      </c>
      <c r="J148" s="14" t="s">
        <v>114</v>
      </c>
      <c r="K148" s="34" t="s">
        <v>4</v>
      </c>
      <c r="L148" s="22"/>
      <c r="M148" s="22"/>
      <c r="N148" s="22"/>
      <c r="O148" s="22"/>
      <c r="P148" s="22"/>
      <c r="Q148" s="22">
        <f>+Q147+Q123</f>
        <v>12867.62614214876</v>
      </c>
      <c r="R148" s="20">
        <f t="shared" si="19"/>
        <v>39986.56835702479</v>
      </c>
    </row>
    <row r="149" spans="1:18" ht="12.75" customHeight="1">
      <c r="A149" s="15" t="s">
        <v>115</v>
      </c>
      <c r="B149" s="12" t="s">
        <v>4</v>
      </c>
      <c r="C149" s="87"/>
      <c r="D149" s="88"/>
      <c r="E149" s="88"/>
      <c r="F149" s="22"/>
      <c r="G149" s="87"/>
      <c r="H149" s="22">
        <f>+C157*B85</f>
        <v>31014.02966132145</v>
      </c>
      <c r="J149" s="15" t="s">
        <v>115</v>
      </c>
      <c r="K149" s="34"/>
      <c r="L149" s="63"/>
      <c r="M149" s="99"/>
      <c r="N149" s="99"/>
      <c r="O149" s="63"/>
      <c r="P149" s="58"/>
      <c r="Q149" s="22">
        <f>+D157*B85</f>
        <v>12344.67251076365</v>
      </c>
      <c r="R149" s="22">
        <f>+Q149+H149</f>
        <v>43358.7021720851</v>
      </c>
    </row>
    <row r="150" spans="1:18" ht="12.75" customHeight="1">
      <c r="A150" s="89"/>
      <c r="B150" s="90"/>
      <c r="C150" s="90"/>
      <c r="D150" s="90"/>
      <c r="E150" s="90"/>
      <c r="F150" s="90"/>
      <c r="G150" s="90"/>
      <c r="H150" s="90"/>
      <c r="J150" s="89"/>
      <c r="K150" s="38"/>
      <c r="L150" s="59"/>
      <c r="M150" s="38"/>
      <c r="N150" s="38"/>
      <c r="O150" s="59"/>
      <c r="Q150" s="59"/>
      <c r="R150" s="59"/>
    </row>
    <row r="151" spans="1:8" ht="29.25" customHeight="1">
      <c r="A151" s="17"/>
      <c r="B151" s="34"/>
      <c r="C151" s="92" t="s">
        <v>117</v>
      </c>
      <c r="D151" s="92" t="s">
        <v>118</v>
      </c>
      <c r="E151" s="15" t="s">
        <v>116</v>
      </c>
      <c r="F151" s="15" t="s">
        <v>39</v>
      </c>
      <c r="G151" s="93"/>
      <c r="H151" s="12" t="s">
        <v>119</v>
      </c>
    </row>
    <row r="152" spans="1:8" ht="12.75" customHeight="1">
      <c r="A152" s="17" t="s">
        <v>36</v>
      </c>
      <c r="B152" s="34" t="s">
        <v>37</v>
      </c>
      <c r="C152" s="91"/>
      <c r="D152" s="91"/>
      <c r="E152" s="91"/>
      <c r="F152" s="91"/>
      <c r="G152" s="91"/>
      <c r="H152" s="16"/>
    </row>
    <row r="153" spans="1:8" ht="12.75" customHeight="1">
      <c r="A153" s="17" t="s">
        <v>42</v>
      </c>
      <c r="B153" s="34" t="s">
        <v>37</v>
      </c>
      <c r="C153" s="91"/>
      <c r="D153" s="91"/>
      <c r="E153" s="91"/>
      <c r="F153" s="91"/>
      <c r="G153" s="91"/>
      <c r="H153" s="16"/>
    </row>
    <row r="154" spans="1:8" ht="12.75" customHeight="1">
      <c r="A154" s="17" t="s">
        <v>41</v>
      </c>
      <c r="B154" s="34" t="s">
        <v>37</v>
      </c>
      <c r="C154" s="63">
        <f>+B88*B89*B90*H25/1000</f>
        <v>28.79977634847472</v>
      </c>
      <c r="D154" s="63">
        <f>+B88*B89*B91*Q25/1000</f>
        <v>17.232558758655863</v>
      </c>
      <c r="E154" s="63">
        <f>+D154+C154</f>
        <v>46.03233510713058</v>
      </c>
      <c r="F154" s="95">
        <f aca="true" t="shared" si="39" ref="F154:F159">+E154/B$86</f>
        <v>0.2</v>
      </c>
      <c r="G154" s="85" t="s">
        <v>179</v>
      </c>
      <c r="H154" s="16"/>
    </row>
    <row r="155" spans="1:8" ht="12.75" customHeight="1">
      <c r="A155" s="17" t="s">
        <v>40</v>
      </c>
      <c r="B155" s="34" t="s">
        <v>37</v>
      </c>
      <c r="C155" s="63">
        <f>+C90*H25/1000</f>
        <v>115.19910539389888</v>
      </c>
      <c r="D155" s="63">
        <f>+C91*Q25/1000</f>
        <v>68.93023503462345</v>
      </c>
      <c r="E155" s="63">
        <f>+D155+C155</f>
        <v>184.1293404285223</v>
      </c>
      <c r="F155" s="95">
        <f t="shared" si="39"/>
        <v>0.8</v>
      </c>
      <c r="G155" s="85" t="s">
        <v>179</v>
      </c>
      <c r="H155" s="16"/>
    </row>
    <row r="156" spans="1:8" ht="12.75" customHeight="1">
      <c r="A156" s="17" t="s">
        <v>185</v>
      </c>
      <c r="B156" s="34" t="s">
        <v>37</v>
      </c>
      <c r="C156" s="63">
        <f>+C90*H62/1000</f>
        <v>37.66403124059525</v>
      </c>
      <c r="D156" s="63">
        <f>+C91*Q62/1000</f>
        <v>38.06855375771433</v>
      </c>
      <c r="E156" s="63">
        <f>+D156+C156</f>
        <v>75.73258499830958</v>
      </c>
      <c r="F156" s="95">
        <f t="shared" si="39"/>
        <v>0.329040813689151</v>
      </c>
      <c r="G156" s="85" t="s">
        <v>179</v>
      </c>
      <c r="H156" s="16"/>
    </row>
    <row r="157" spans="1:8" ht="12.75" customHeight="1">
      <c r="A157" s="17" t="s">
        <v>184</v>
      </c>
      <c r="B157" s="34" t="s">
        <v>37</v>
      </c>
      <c r="C157" s="63">
        <f>+C155-C156</f>
        <v>77.53507415330363</v>
      </c>
      <c r="D157" s="22">
        <f>+D155-D156</f>
        <v>30.861681276909124</v>
      </c>
      <c r="E157" s="63">
        <f>+D157+C157</f>
        <v>108.39675543021275</v>
      </c>
      <c r="F157" s="95">
        <f t="shared" si="39"/>
        <v>0.47095918631084915</v>
      </c>
      <c r="G157" s="85" t="s">
        <v>179</v>
      </c>
      <c r="H157" s="16"/>
    </row>
    <row r="158" spans="1:8" ht="12.75" customHeight="1">
      <c r="A158" s="17" t="s">
        <v>34</v>
      </c>
      <c r="B158" s="34" t="s">
        <v>37</v>
      </c>
      <c r="C158" s="22">
        <f>+C152+C153+C154+C155</f>
        <v>143.99888174237358</v>
      </c>
      <c r="D158" s="63">
        <f>+D152+D153+D154+D155</f>
        <v>86.16279379327932</v>
      </c>
      <c r="E158" s="63">
        <f>+E152+E153+E154+E155</f>
        <v>230.16167553565288</v>
      </c>
      <c r="F158" s="95">
        <f t="shared" si="39"/>
        <v>1</v>
      </c>
      <c r="G158" s="85" t="s">
        <v>179</v>
      </c>
      <c r="H158" s="16"/>
    </row>
    <row r="159" spans="1:8" ht="12.75" customHeight="1">
      <c r="A159" s="17" t="s">
        <v>186</v>
      </c>
      <c r="B159" s="34" t="s">
        <v>37</v>
      </c>
      <c r="C159" s="22">
        <f>+C152+C153+C154+C156</f>
        <v>66.46380758906997</v>
      </c>
      <c r="D159" s="63">
        <f>+D152+D153+D154+D156</f>
        <v>55.30111251637019</v>
      </c>
      <c r="E159" s="63">
        <f>+E152+E153+E154+E156</f>
        <v>121.76492010544015</v>
      </c>
      <c r="F159" s="95">
        <f t="shared" si="39"/>
        <v>0.529040813689151</v>
      </c>
      <c r="G159" s="85" t="s">
        <v>179</v>
      </c>
      <c r="H159" s="96">
        <f>+(F158-F159)/F158</f>
        <v>0.470959186310849</v>
      </c>
    </row>
    <row r="160" ht="12.75" customHeight="1"/>
    <row r="161" spans="3:6" ht="12.75" customHeight="1">
      <c r="C161" s="1" t="s">
        <v>39</v>
      </c>
      <c r="F161" s="150"/>
    </row>
    <row r="162" spans="3:5" ht="12.75" customHeight="1">
      <c r="C162" s="25" t="s">
        <v>47</v>
      </c>
      <c r="D162" s="65">
        <f>+E158/(B$86*1000)*1000</f>
        <v>1</v>
      </c>
      <c r="E162" s="59" t="s">
        <v>180</v>
      </c>
    </row>
    <row r="163" spans="3:5" ht="12.75">
      <c r="C163" s="25" t="s">
        <v>187</v>
      </c>
      <c r="D163" s="65">
        <f>+E159/(B$86*1000)*1000</f>
        <v>0.529040813689151</v>
      </c>
      <c r="E163" s="59" t="s">
        <v>180</v>
      </c>
    </row>
    <row r="164" ht="12.75">
      <c r="F164" s="142"/>
    </row>
    <row r="165" ht="12.75">
      <c r="C165" s="1" t="s">
        <v>92</v>
      </c>
    </row>
    <row r="166" spans="3:5" ht="12.75">
      <c r="C166" s="25" t="s">
        <v>47</v>
      </c>
      <c r="D166" s="51">
        <f>+E155/(B$88*(100%-$B$89))*1000</f>
        <v>19.180139627971073</v>
      </c>
      <c r="E166" s="59" t="s">
        <v>120</v>
      </c>
    </row>
    <row r="167" spans="3:5" ht="12.75">
      <c r="C167" s="25" t="s">
        <v>187</v>
      </c>
      <c r="D167" s="51">
        <f>+E156/(B$88*(100%-$B$89))*1000</f>
        <v>7.888810937323914</v>
      </c>
      <c r="E167" s="59" t="s">
        <v>120</v>
      </c>
    </row>
    <row r="168" ht="12.75">
      <c r="D168" s="66"/>
    </row>
    <row r="169" spans="3:4" ht="12.75">
      <c r="C169" s="1" t="s">
        <v>93</v>
      </c>
      <c r="D169" s="66"/>
    </row>
    <row r="170" spans="3:5" ht="12.75">
      <c r="C170" s="25" t="s">
        <v>47</v>
      </c>
      <c r="D170" s="51">
        <f>+(E155+E154)/B$88*1000</f>
        <v>19.180139627971073</v>
      </c>
      <c r="E170" s="59" t="s">
        <v>120</v>
      </c>
    </row>
    <row r="171" spans="3:5" ht="12.75">
      <c r="C171" s="25" t="s">
        <v>187</v>
      </c>
      <c r="D171" s="51">
        <f>+(E156+E154)/B$88*1000</f>
        <v>10.147076675453345</v>
      </c>
      <c r="E171" s="59" t="s">
        <v>120</v>
      </c>
    </row>
    <row r="173" spans="2:4" ht="12.75">
      <c r="B173" s="25" t="s">
        <v>121</v>
      </c>
      <c r="C173" s="84">
        <f>+R148/E157</f>
        <v>368.89082333067313</v>
      </c>
      <c r="D173" s="25" t="s">
        <v>94</v>
      </c>
    </row>
    <row r="174" spans="2:4" ht="12.75">
      <c r="B174" s="25" t="s">
        <v>122</v>
      </c>
      <c r="C174" s="84">
        <f>+R149/E157</f>
        <v>400</v>
      </c>
      <c r="D174" s="25" t="s">
        <v>95</v>
      </c>
    </row>
    <row r="175" spans="2:4" ht="12.75">
      <c r="B175" s="25" t="s">
        <v>123</v>
      </c>
      <c r="C175" s="84">
        <f>+C173-C174</f>
        <v>-31.10917666932687</v>
      </c>
      <c r="D175" s="25" t="s">
        <v>94</v>
      </c>
    </row>
    <row r="180" spans="1:9" ht="12.75">
      <c r="A180" s="100"/>
      <c r="B180" s="101"/>
      <c r="C180" s="170" t="s">
        <v>7</v>
      </c>
      <c r="D180" s="171"/>
      <c r="E180" s="172"/>
      <c r="F180" s="170" t="s">
        <v>8</v>
      </c>
      <c r="G180" s="171"/>
      <c r="H180" s="172"/>
      <c r="I180" s="165" t="s">
        <v>6</v>
      </c>
    </row>
    <row r="181" spans="1:9" ht="14.25" customHeight="1">
      <c r="A181" s="174"/>
      <c r="B181" s="174"/>
      <c r="C181" s="165" t="s">
        <v>125</v>
      </c>
      <c r="D181" s="165" t="s">
        <v>126</v>
      </c>
      <c r="E181" s="165" t="s">
        <v>91</v>
      </c>
      <c r="F181" s="165" t="s">
        <v>125</v>
      </c>
      <c r="G181" s="165" t="s">
        <v>126</v>
      </c>
      <c r="H181" s="102" t="s">
        <v>90</v>
      </c>
      <c r="I181" s="173"/>
    </row>
    <row r="182" spans="1:9" ht="12.75">
      <c r="A182" s="175"/>
      <c r="B182" s="175"/>
      <c r="C182" s="166"/>
      <c r="D182" s="166"/>
      <c r="E182" s="166"/>
      <c r="F182" s="166"/>
      <c r="G182" s="166"/>
      <c r="H182" s="103" t="s">
        <v>127</v>
      </c>
      <c r="I182" s="166"/>
    </row>
    <row r="183" spans="1:9" ht="14.25" customHeight="1">
      <c r="A183" s="167" t="s">
        <v>133</v>
      </c>
      <c r="B183" s="168"/>
      <c r="C183" s="168"/>
      <c r="D183" s="168"/>
      <c r="E183" s="168"/>
      <c r="F183" s="168"/>
      <c r="G183" s="168"/>
      <c r="H183" s="168"/>
      <c r="I183" s="169"/>
    </row>
    <row r="184" spans="1:9" ht="12.75" customHeight="1">
      <c r="A184" s="104" t="s">
        <v>2</v>
      </c>
      <c r="B184" s="105" t="s">
        <v>3</v>
      </c>
      <c r="C184" s="139">
        <f>+H96</f>
        <v>3840</v>
      </c>
      <c r="D184" s="120">
        <f>+H97</f>
        <v>3840</v>
      </c>
      <c r="E184" s="121">
        <f aca="true" t="shared" si="40" ref="E184:E189">+D184+C184</f>
        <v>7680</v>
      </c>
      <c r="F184" s="120">
        <f>+Q96</f>
        <v>5760</v>
      </c>
      <c r="G184" s="120">
        <f>+Q97</f>
        <v>5760</v>
      </c>
      <c r="H184" s="121">
        <f>+G184+F184</f>
        <v>11520</v>
      </c>
      <c r="I184" s="121">
        <f aca="true" t="shared" si="41" ref="I184:I189">+H184+E184</f>
        <v>19200</v>
      </c>
    </row>
    <row r="185" spans="1:9" ht="12.75" customHeight="1">
      <c r="A185" s="104" t="s">
        <v>12</v>
      </c>
      <c r="B185" s="105" t="s">
        <v>3</v>
      </c>
      <c r="C185" s="138">
        <f>+H100</f>
        <v>0</v>
      </c>
      <c r="D185" s="120">
        <f>+H101</f>
        <v>19200</v>
      </c>
      <c r="E185" s="121">
        <f t="shared" si="40"/>
        <v>19200</v>
      </c>
      <c r="F185" s="120">
        <f>+Q100</f>
        <v>0</v>
      </c>
      <c r="G185" s="120">
        <f>+Q101</f>
        <v>28800</v>
      </c>
      <c r="H185" s="121">
        <f>+G185+F185</f>
        <v>28800</v>
      </c>
      <c r="I185" s="121">
        <f t="shared" si="41"/>
        <v>48000</v>
      </c>
    </row>
    <row r="186" spans="1:9" ht="27" customHeight="1">
      <c r="A186" s="104" t="s">
        <v>172</v>
      </c>
      <c r="B186" s="105" t="s">
        <v>15</v>
      </c>
      <c r="C186" s="144">
        <f>+H104</f>
        <v>0</v>
      </c>
      <c r="D186" s="145">
        <f>+H105</f>
        <v>1920</v>
      </c>
      <c r="E186" s="146">
        <f t="shared" si="40"/>
        <v>1920</v>
      </c>
      <c r="F186" s="145">
        <f>+Q104</f>
        <v>0</v>
      </c>
      <c r="G186" s="145">
        <f>+Q105</f>
        <v>1267.2</v>
      </c>
      <c r="H186" s="146">
        <f>+G186+F186</f>
        <v>1267.2</v>
      </c>
      <c r="I186" s="146">
        <f t="shared" si="41"/>
        <v>3187.2</v>
      </c>
    </row>
    <row r="187" spans="1:9" ht="12.75" customHeight="1">
      <c r="A187" s="104" t="s">
        <v>174</v>
      </c>
      <c r="B187" s="105" t="s">
        <v>16</v>
      </c>
      <c r="C187" s="139">
        <f>+H112</f>
        <v>0</v>
      </c>
      <c r="D187" s="120">
        <f>+H113</f>
        <v>0</v>
      </c>
      <c r="E187" s="121">
        <f t="shared" si="40"/>
        <v>0</v>
      </c>
      <c r="F187" s="120">
        <f>+Q112</f>
        <v>3023.9999999999995</v>
      </c>
      <c r="G187" s="120">
        <f>+Q113</f>
        <v>3023.9999999999995</v>
      </c>
      <c r="H187" s="121">
        <f>+G187+F187</f>
        <v>6047.999999999999</v>
      </c>
      <c r="I187" s="121">
        <f t="shared" si="41"/>
        <v>6047.999999999999</v>
      </c>
    </row>
    <row r="188" spans="1:9" ht="12.75" customHeight="1">
      <c r="A188" s="104" t="s">
        <v>173</v>
      </c>
      <c r="B188" s="105"/>
      <c r="C188" s="139">
        <f>+H108</f>
        <v>40319.99999999999</v>
      </c>
      <c r="D188" s="120">
        <f>+H109</f>
        <v>40319.999999999985</v>
      </c>
      <c r="E188" s="121">
        <f t="shared" si="40"/>
        <v>80639.99999999997</v>
      </c>
      <c r="F188" s="120">
        <f>+Q108</f>
        <v>0</v>
      </c>
      <c r="G188" s="120">
        <f>+Q109</f>
        <v>0</v>
      </c>
      <c r="H188" s="121"/>
      <c r="I188" s="121">
        <f t="shared" si="41"/>
        <v>80639.99999999997</v>
      </c>
    </row>
    <row r="189" spans="1:9" ht="12.75" customHeight="1">
      <c r="A189" s="104" t="s">
        <v>134</v>
      </c>
      <c r="B189" s="105" t="s">
        <v>128</v>
      </c>
      <c r="C189" s="139">
        <f>+HC116</f>
        <v>0</v>
      </c>
      <c r="D189" s="120">
        <f>+H117</f>
        <v>480</v>
      </c>
      <c r="E189" s="121">
        <f t="shared" si="40"/>
        <v>480</v>
      </c>
      <c r="F189" s="120">
        <f>+Q116</f>
        <v>0</v>
      </c>
      <c r="G189" s="120">
        <f>+Q117</f>
        <v>316.8</v>
      </c>
      <c r="H189" s="121">
        <f>+G189+F189</f>
        <v>316.8</v>
      </c>
      <c r="I189" s="121">
        <f t="shared" si="41"/>
        <v>796.8</v>
      </c>
    </row>
    <row r="190" spans="1:9" ht="12.75" customHeight="1">
      <c r="A190" s="107" t="s">
        <v>54</v>
      </c>
      <c r="B190" s="108" t="s">
        <v>3</v>
      </c>
      <c r="C190" s="121">
        <f aca="true" t="shared" si="42" ref="C190:I190">SUM(C184:C189)</f>
        <v>44159.99999999999</v>
      </c>
      <c r="D190" s="121">
        <f t="shared" si="42"/>
        <v>65759.99999999999</v>
      </c>
      <c r="E190" s="121">
        <f t="shared" si="42"/>
        <v>109919.99999999997</v>
      </c>
      <c r="F190" s="121">
        <f t="shared" si="42"/>
        <v>8784</v>
      </c>
      <c r="G190" s="121">
        <f t="shared" si="42"/>
        <v>39168</v>
      </c>
      <c r="H190" s="121">
        <f t="shared" si="42"/>
        <v>47952</v>
      </c>
      <c r="I190" s="158">
        <f t="shared" si="42"/>
        <v>157871.99999999994</v>
      </c>
    </row>
    <row r="191" spans="1:9" ht="12.75" customHeight="1">
      <c r="A191" s="104" t="s">
        <v>129</v>
      </c>
      <c r="B191" s="105" t="s">
        <v>4</v>
      </c>
      <c r="C191" s="123"/>
      <c r="D191" s="123"/>
      <c r="E191" s="121">
        <f>0.1233*E190</f>
        <v>13553.135999999997</v>
      </c>
      <c r="F191" s="121"/>
      <c r="G191" s="121"/>
      <c r="H191" s="121">
        <f>0.1233*H190</f>
        <v>5912.4816</v>
      </c>
      <c r="I191" s="121">
        <f>0.1233*I190</f>
        <v>19465.617599999994</v>
      </c>
    </row>
    <row r="192" spans="1:9" ht="12.75" customHeight="1">
      <c r="A192" s="126" t="s">
        <v>130</v>
      </c>
      <c r="B192" s="126"/>
      <c r="C192" s="127"/>
      <c r="D192" s="127"/>
      <c r="E192" s="127"/>
      <c r="F192" s="127"/>
      <c r="G192" s="127"/>
      <c r="H192" s="127"/>
      <c r="I192" s="127"/>
    </row>
    <row r="193" spans="1:9" ht="12.75" customHeight="1">
      <c r="A193" s="107" t="s">
        <v>135</v>
      </c>
      <c r="B193" s="106"/>
      <c r="C193" s="123"/>
      <c r="D193" s="123"/>
      <c r="E193" s="123"/>
      <c r="F193" s="123"/>
      <c r="G193" s="123"/>
      <c r="H193" s="123"/>
      <c r="I193" s="123"/>
    </row>
    <row r="194" spans="1:9" ht="12.75" customHeight="1">
      <c r="A194" s="104" t="s">
        <v>131</v>
      </c>
      <c r="B194" s="105" t="s">
        <v>4</v>
      </c>
      <c r="C194" s="120">
        <f>+H125</f>
        <v>0</v>
      </c>
      <c r="D194" s="120">
        <f>+H126</f>
        <v>3840.0000000000005</v>
      </c>
      <c r="E194" s="120">
        <f>+D194+C194</f>
        <v>3840.0000000000005</v>
      </c>
      <c r="F194" s="120">
        <f>+Q125</f>
        <v>0</v>
      </c>
      <c r="G194" s="120">
        <f>+Q126</f>
        <v>5760</v>
      </c>
      <c r="H194" s="121">
        <f>+G194+F194</f>
        <v>5760</v>
      </c>
      <c r="I194" s="121">
        <f>+H194+E194</f>
        <v>9600</v>
      </c>
    </row>
    <row r="195" spans="1:9" ht="12.75" customHeight="1">
      <c r="A195" s="104" t="s">
        <v>146</v>
      </c>
      <c r="B195" s="105" t="s">
        <v>4</v>
      </c>
      <c r="C195" s="120">
        <f>+H129</f>
        <v>0</v>
      </c>
      <c r="D195" s="120">
        <f>+H130</f>
        <v>244.08960000000002</v>
      </c>
      <c r="E195" s="120">
        <f>+D195+C195</f>
        <v>244.08960000000002</v>
      </c>
      <c r="F195" s="120">
        <f>+Q129</f>
        <v>0</v>
      </c>
      <c r="G195" s="120">
        <f>+Q130</f>
        <v>184.94207999999998</v>
      </c>
      <c r="H195" s="121">
        <f>+G195+F195</f>
        <v>184.94207999999998</v>
      </c>
      <c r="I195" s="121">
        <f aca="true" t="shared" si="43" ref="I195:I201">+H195+E195</f>
        <v>429.03168</v>
      </c>
    </row>
    <row r="196" spans="1:9" ht="12.75" customHeight="1">
      <c r="A196" s="104" t="s">
        <v>175</v>
      </c>
      <c r="B196" s="105" t="s">
        <v>4</v>
      </c>
      <c r="C196" s="120">
        <f>+H137</f>
        <v>0</v>
      </c>
      <c r="D196" s="120">
        <f>+H138</f>
        <v>0</v>
      </c>
      <c r="E196" s="120">
        <f>+D196+C196</f>
        <v>0</v>
      </c>
      <c r="F196" s="120">
        <f>+Q137</f>
        <v>481.9834710743802</v>
      </c>
      <c r="G196" s="120">
        <f>+Q138</f>
        <v>481.9834710743802</v>
      </c>
      <c r="H196" s="121">
        <f>+G196+F196</f>
        <v>963.9669421487604</v>
      </c>
      <c r="I196" s="121">
        <f t="shared" si="43"/>
        <v>963.9669421487604</v>
      </c>
    </row>
    <row r="197" spans="1:9" ht="12.75" customHeight="1">
      <c r="A197" s="104" t="s">
        <v>176</v>
      </c>
      <c r="B197" s="105" t="s">
        <v>4</v>
      </c>
      <c r="C197" s="120">
        <f>+H133</f>
        <v>4710.347107438018</v>
      </c>
      <c r="D197" s="120">
        <f>+H134</f>
        <v>4710.347107438017</v>
      </c>
      <c r="E197" s="120">
        <f>+D197+C197</f>
        <v>9420.694214876035</v>
      </c>
      <c r="F197" s="120">
        <f>+Q133</f>
        <v>0</v>
      </c>
      <c r="G197" s="120">
        <f>+Q134</f>
        <v>0</v>
      </c>
      <c r="H197" s="121">
        <f>+G197+F197</f>
        <v>0</v>
      </c>
      <c r="I197" s="121">
        <f t="shared" si="43"/>
        <v>9420.694214876035</v>
      </c>
    </row>
    <row r="198" spans="1:10" ht="12.75" customHeight="1">
      <c r="A198" s="104" t="s">
        <v>177</v>
      </c>
      <c r="B198" s="105" t="s">
        <v>4</v>
      </c>
      <c r="C198" s="120">
        <f>+H141</f>
        <v>0</v>
      </c>
      <c r="D198" s="120">
        <f>+H142</f>
        <v>61.022400000000005</v>
      </c>
      <c r="E198" s="120">
        <f>+D198+C198</f>
        <v>61.022400000000005</v>
      </c>
      <c r="F198" s="120">
        <f>+Q141</f>
        <v>0</v>
      </c>
      <c r="G198" s="120">
        <f>+Q142</f>
        <v>46.235519999999994</v>
      </c>
      <c r="H198" s="121">
        <f>+G198+F198</f>
        <v>46.235519999999994</v>
      </c>
      <c r="I198" s="121">
        <f t="shared" si="43"/>
        <v>107.25792</v>
      </c>
      <c r="J198" s="143"/>
    </row>
    <row r="199" spans="1:9" ht="12.75" customHeight="1">
      <c r="A199" s="107" t="s">
        <v>20</v>
      </c>
      <c r="B199" s="108" t="s">
        <v>4</v>
      </c>
      <c r="C199" s="121">
        <f aca="true" t="shared" si="44" ref="C199:H199">SUM(C194:C198)</f>
        <v>4710.347107438018</v>
      </c>
      <c r="D199" s="121">
        <f t="shared" si="44"/>
        <v>8855.459107438017</v>
      </c>
      <c r="E199" s="121">
        <f t="shared" si="44"/>
        <v>13565.806214876035</v>
      </c>
      <c r="F199" s="121">
        <f t="shared" si="44"/>
        <v>481.9834710743802</v>
      </c>
      <c r="G199" s="121">
        <f t="shared" si="44"/>
        <v>6473.16107107438</v>
      </c>
      <c r="H199" s="121">
        <f t="shared" si="44"/>
        <v>6955.144542148761</v>
      </c>
      <c r="I199" s="158">
        <f t="shared" si="43"/>
        <v>20520.950757024795</v>
      </c>
    </row>
    <row r="200" spans="1:9" s="1" customFormat="1" ht="12.75" customHeight="1">
      <c r="A200" s="107" t="s">
        <v>132</v>
      </c>
      <c r="B200" s="108" t="s">
        <v>4</v>
      </c>
      <c r="C200" s="124"/>
      <c r="D200" s="124"/>
      <c r="E200" s="121">
        <f>+H148</f>
        <v>27118.942214876035</v>
      </c>
      <c r="F200" s="124"/>
      <c r="G200" s="124"/>
      <c r="H200" s="121">
        <f>+Q148</f>
        <v>12867.62614214876</v>
      </c>
      <c r="I200" s="121">
        <f t="shared" si="43"/>
        <v>39986.56835702479</v>
      </c>
    </row>
    <row r="201" spans="1:9" ht="12.75" customHeight="1">
      <c r="A201" s="109" t="s">
        <v>22</v>
      </c>
      <c r="B201" s="110" t="s">
        <v>4</v>
      </c>
      <c r="C201" s="123"/>
      <c r="D201" s="123"/>
      <c r="E201" s="125">
        <f>+H149</f>
        <v>31014.02966132145</v>
      </c>
      <c r="F201" s="123"/>
      <c r="G201" s="123"/>
      <c r="H201" s="121">
        <f>+Q149</f>
        <v>12344.67251076365</v>
      </c>
      <c r="I201" s="158">
        <f t="shared" si="43"/>
        <v>43358.7021720851</v>
      </c>
    </row>
    <row r="203" spans="5:8" ht="12.75">
      <c r="E203" s="143"/>
      <c r="F203" s="143"/>
      <c r="G203" s="143"/>
      <c r="H203" s="143"/>
    </row>
  </sheetData>
  <mergeCells count="11">
    <mergeCell ref="E181:E182"/>
    <mergeCell ref="F181:F182"/>
    <mergeCell ref="G181:G182"/>
    <mergeCell ref="A183:I183"/>
    <mergeCell ref="C180:E180"/>
    <mergeCell ref="F180:H180"/>
    <mergeCell ref="I180:I182"/>
    <mergeCell ref="A181:A182"/>
    <mergeCell ref="B181:B182"/>
    <mergeCell ref="C181:C182"/>
    <mergeCell ref="D181:D182"/>
  </mergeCells>
  <printOptions/>
  <pageMargins left="0.7874015748031497" right="0.7874015748031497" top="0.984251968503937" bottom="0.984251968503937" header="0.5118110236220472" footer="0.5118110236220472"/>
  <pageSetup fitToHeight="6" fitToWidth="2" orientation="landscape" paperSize="9" scale="63" r:id="rId2"/>
  <headerFooter alignWithMargins="0">
    <oddHeader>&amp;L&amp;P/&amp;N&amp;R&amp;F/&amp;A</oddHeader>
  </headerFooter>
  <rowBreaks count="5" manualBreakCount="5">
    <brk id="38" max="17" man="1"/>
    <brk id="63" max="17" man="1"/>
    <brk id="92" max="17" man="1"/>
    <brk id="150" max="17" man="1"/>
    <brk id="17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ALLEMAND</cp:lastModifiedBy>
  <cp:lastPrinted>2003-10-24T13:27:15Z</cp:lastPrinted>
  <dcterms:created xsi:type="dcterms:W3CDTF">2003-03-12T20:47:47Z</dcterms:created>
  <dcterms:modified xsi:type="dcterms:W3CDTF">2005-04-28T10:17:58Z</dcterms:modified>
  <cp:category/>
  <cp:version/>
  <cp:contentType/>
  <cp:contentStatus/>
</cp:coreProperties>
</file>