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270" windowWidth="15480" windowHeight="10170" tabRatio="767" activeTab="5"/>
  </bookViews>
  <sheets>
    <sheet name="Deduster" sheetId="1" r:id="rId1"/>
    <sheet name="NOx secondary measure" sheetId="2" r:id="rId2"/>
    <sheet name="SNCR+SCR" sheetId="3" r:id="rId3"/>
    <sheet name="NOx primary measure" sheetId="4" r:id="rId4"/>
    <sheet name="Dry scrubber 20%" sheetId="5" r:id="rId5"/>
    <sheet name="Dry scrubber 50%" sheetId="6" r:id="rId6"/>
  </sheets>
  <definedNames>
    <definedName name="_xlnm.Print_Area" localSheetId="0">'Deduster'!$A$1:$I$42</definedName>
    <definedName name="_xlnm.Print_Area" localSheetId="1">'NOx secondary measure'!$A$1:$I$36</definedName>
    <definedName name="_xlnm.Print_Area" localSheetId="2">'SNCR+SCR'!$A$1:$J$85</definedName>
  </definedNames>
  <calcPr fullCalcOnLoad="1"/>
</workbook>
</file>

<file path=xl/comments1.xml><?xml version="1.0" encoding="utf-8"?>
<comments xmlns="http://schemas.openxmlformats.org/spreadsheetml/2006/main">
  <authors>
    <author>ssm</author>
  </authors>
  <commentList>
    <comment ref="E27" authorId="0">
      <text>
        <r>
          <rPr>
            <sz val="8"/>
            <rFont val="Tahoma"/>
            <family val="2"/>
          </rPr>
          <t xml:space="preserve">
no dust disposal cost with this technique</t>
        </r>
      </text>
    </comment>
  </commentList>
</comments>
</file>

<file path=xl/comments4.xml><?xml version="1.0" encoding="utf-8"?>
<comments xmlns="http://schemas.openxmlformats.org/spreadsheetml/2006/main">
  <authors>
    <author>ssm</author>
  </authors>
  <commentList>
    <comment ref="C18" authorId="0">
      <text>
        <r>
          <rPr>
            <sz val="10"/>
            <rFont val="Tahoma"/>
            <family val="2"/>
          </rPr>
          <t>source:Nox background document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ssm</author>
  </authors>
  <commentList>
    <comment ref="E19" authorId="0">
      <text>
        <r>
          <rPr>
            <sz val="8"/>
            <rFont val="Tahoma"/>
            <family val="0"/>
          </rPr>
          <t>no waste disposal with this technique</t>
        </r>
      </text>
    </comment>
  </commentList>
</comments>
</file>

<file path=xl/comments6.xml><?xml version="1.0" encoding="utf-8"?>
<comments xmlns="http://schemas.openxmlformats.org/spreadsheetml/2006/main">
  <authors>
    <author>ssm</author>
  </authors>
  <commentList>
    <comment ref="E19" authorId="0">
      <text>
        <r>
          <rPr>
            <sz val="8"/>
            <rFont val="Tahoma"/>
            <family val="2"/>
          </rPr>
          <t>no waste disposal cost 
with this technique</t>
        </r>
      </text>
    </comment>
  </commentList>
</comments>
</file>

<file path=xl/sharedStrings.xml><?xml version="1.0" encoding="utf-8"?>
<sst xmlns="http://schemas.openxmlformats.org/spreadsheetml/2006/main" count="570" uniqueCount="116">
  <si>
    <r>
      <t>l</t>
    </r>
    <r>
      <rPr>
        <vertAlign val="superscript"/>
        <sz val="12"/>
        <rFont val="Times New Roman"/>
        <family val="1"/>
      </rPr>
      <t>e</t>
    </r>
    <r>
      <rPr>
        <sz val="12"/>
        <rFont val="Times New Roman"/>
        <family val="1"/>
      </rPr>
      <t xml:space="preserve"> </t>
    </r>
  </si>
  <si>
    <t xml:space="preserve">additional electricity demand </t>
  </si>
  <si>
    <r>
      <t>c</t>
    </r>
    <r>
      <rPr>
        <vertAlign val="superscript"/>
        <sz val="12"/>
        <rFont val="Times New Roman"/>
        <family val="1"/>
      </rPr>
      <t>e</t>
    </r>
  </si>
  <si>
    <t xml:space="preserve">electricity price </t>
  </si>
  <si>
    <t>[€/kWh]</t>
  </si>
  <si>
    <r>
      <t>l</t>
    </r>
    <r>
      <rPr>
        <vertAlign val="superscript"/>
        <sz val="12"/>
        <rFont val="Times New Roman"/>
        <family val="1"/>
      </rPr>
      <t>l</t>
    </r>
    <r>
      <rPr>
        <sz val="12"/>
        <rFont val="Times New Roman"/>
        <family val="1"/>
      </rPr>
      <t xml:space="preserve"> </t>
    </r>
  </si>
  <si>
    <r>
      <t>c</t>
    </r>
    <r>
      <rPr>
        <vertAlign val="superscript"/>
        <sz val="12"/>
        <rFont val="Times New Roman"/>
        <family val="1"/>
      </rPr>
      <t>l</t>
    </r>
    <r>
      <rPr>
        <sz val="12"/>
        <rFont val="Times New Roman"/>
        <family val="1"/>
      </rPr>
      <t xml:space="preserve"> </t>
    </r>
  </si>
  <si>
    <t xml:space="preserve">labour demand </t>
  </si>
  <si>
    <t xml:space="preserve">wages </t>
  </si>
  <si>
    <t>[k€/ person -year]</t>
  </si>
  <si>
    <t>[h/a]</t>
  </si>
  <si>
    <r>
      <t>ef</t>
    </r>
    <r>
      <rPr>
        <vertAlign val="subscript"/>
        <sz val="12"/>
        <rFont val="Times New Roman"/>
        <family val="1"/>
      </rPr>
      <t xml:space="preserve">unabated </t>
    </r>
  </si>
  <si>
    <t>h</t>
  </si>
  <si>
    <t xml:space="preserve">unabated emission factor of pollutant </t>
  </si>
  <si>
    <r>
      <t>removal efficiency (= 1 - ef</t>
    </r>
    <r>
      <rPr>
        <vertAlign val="subscript"/>
        <sz val="12"/>
        <rFont val="Times New Roman"/>
        <family val="1"/>
      </rPr>
      <t>abated</t>
    </r>
    <r>
      <rPr>
        <sz val="12"/>
        <rFont val="Times New Roman"/>
        <family val="1"/>
      </rPr>
      <t>/ef</t>
    </r>
    <r>
      <rPr>
        <vertAlign val="subscript"/>
        <sz val="12"/>
        <rFont val="Times New Roman"/>
        <family val="1"/>
      </rPr>
      <t>unabated</t>
    </r>
    <r>
      <rPr>
        <sz val="12"/>
        <rFont val="Times New Roman"/>
        <family val="1"/>
      </rPr>
      <t>)</t>
    </r>
  </si>
  <si>
    <t>Unit</t>
  </si>
  <si>
    <t>Parameter</t>
  </si>
  <si>
    <t>Description</t>
  </si>
  <si>
    <t>Reference installation 1</t>
  </si>
  <si>
    <t>Reference installation 2</t>
  </si>
  <si>
    <t>Total</t>
  </si>
  <si>
    <t xml:space="preserve">Electricity cost </t>
  </si>
  <si>
    <t xml:space="preserve">Labour cost </t>
  </si>
  <si>
    <t xml:space="preserve">Dust disposal cost </t>
  </si>
  <si>
    <t>Total Variable Operating costs</t>
  </si>
  <si>
    <t>Investment</t>
  </si>
  <si>
    <r>
      <t>[k€</t>
    </r>
    <r>
      <rPr>
        <sz val="12"/>
        <rFont val="Times New Roman"/>
        <family val="1"/>
      </rPr>
      <t>]</t>
    </r>
  </si>
  <si>
    <t>Fixed Operating costs</t>
  </si>
  <si>
    <t>Variable Operating costs</t>
  </si>
  <si>
    <t>Annualized capital costs</t>
  </si>
  <si>
    <t>Lifetime</t>
  </si>
  <si>
    <t>Lifetime of the control equipment</t>
  </si>
  <si>
    <t xml:space="preserve">[%/100/a] </t>
  </si>
  <si>
    <t>[a]</t>
  </si>
  <si>
    <t xml:space="preserve">Interest rate </t>
  </si>
  <si>
    <t>Cost per ton of glass melted</t>
  </si>
  <si>
    <t>Capacity</t>
  </si>
  <si>
    <t>Description of each reference installation</t>
  </si>
  <si>
    <t>Plant factor</t>
  </si>
  <si>
    <t>Fuel</t>
  </si>
  <si>
    <t>Natural gas</t>
  </si>
  <si>
    <t>Heavy fuel oil</t>
  </si>
  <si>
    <t>Cost per ton of PM abated</t>
  </si>
  <si>
    <t>[k€/ t PM abated]</t>
  </si>
  <si>
    <t>Unabated emission factor</t>
  </si>
  <si>
    <t>Abatement efficiency</t>
  </si>
  <si>
    <t>[t PM/ t of glass melted]</t>
  </si>
  <si>
    <t>[%]</t>
  </si>
  <si>
    <t>Investments and cost of ESP</t>
  </si>
  <si>
    <t>Determination of the Variable Operating costs</t>
  </si>
  <si>
    <t>Investments and cost of NOx Primary technologies</t>
  </si>
  <si>
    <t>Cost per ton of NOx abated</t>
  </si>
  <si>
    <t>[t NOx/ t of glass melted]</t>
  </si>
  <si>
    <t>[k€/ t NOx abated]</t>
  </si>
  <si>
    <t>Investments and cost of NOx secondary measures</t>
  </si>
  <si>
    <t>Ammonia cost</t>
  </si>
  <si>
    <r>
      <t>l</t>
    </r>
    <r>
      <rPr>
        <vertAlign val="superscript"/>
        <sz val="12"/>
        <rFont val="Times New Roman"/>
        <family val="1"/>
      </rPr>
      <t>s</t>
    </r>
  </si>
  <si>
    <r>
      <t>c</t>
    </r>
    <r>
      <rPr>
        <vertAlign val="superscript"/>
        <sz val="12"/>
        <rFont val="Times New Roman"/>
        <family val="1"/>
      </rPr>
      <t>s</t>
    </r>
  </si>
  <si>
    <t xml:space="preserve">specific NH3 demand </t>
  </si>
  <si>
    <t>Catalyst cost</t>
  </si>
  <si>
    <r>
      <t>l</t>
    </r>
    <r>
      <rPr>
        <vertAlign val="superscript"/>
        <sz val="12"/>
        <rFont val="Times New Roman"/>
        <family val="1"/>
      </rPr>
      <t>cat</t>
    </r>
    <r>
      <rPr>
        <sz val="12"/>
        <rFont val="Times New Roman"/>
        <family val="1"/>
      </rPr>
      <t xml:space="preserve"> </t>
    </r>
  </si>
  <si>
    <r>
      <t>ci</t>
    </r>
    <r>
      <rPr>
        <vertAlign val="superscript"/>
        <sz val="12"/>
        <rFont val="Times New Roman"/>
        <family val="1"/>
      </rPr>
      <t>cat</t>
    </r>
  </si>
  <si>
    <r>
      <t>lt</t>
    </r>
    <r>
      <rPr>
        <vertAlign val="superscript"/>
        <sz val="12"/>
        <rFont val="Times New Roman"/>
        <family val="1"/>
      </rPr>
      <t>cat</t>
    </r>
  </si>
  <si>
    <t xml:space="preserve">unit costs of catalysts </t>
  </si>
  <si>
    <t xml:space="preserve">life time of catalyst </t>
  </si>
  <si>
    <r>
      <t>[k€/m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]</t>
    </r>
  </si>
  <si>
    <t>Investments and cost of Dry scrubber 50%</t>
  </si>
  <si>
    <t xml:space="preserve">Waste disposal cost </t>
  </si>
  <si>
    <t>Cost per ton of SOx abated</t>
  </si>
  <si>
    <t>[k€/ t SOx abated]</t>
  </si>
  <si>
    <t>[t SOx/ t of glass melted]</t>
  </si>
  <si>
    <t>Investments and cost of Dry scrubber 20%</t>
  </si>
  <si>
    <t xml:space="preserve">specific sorbent demand </t>
  </si>
  <si>
    <t>Investments and cost of Deduster</t>
  </si>
  <si>
    <t>Hypotheses:</t>
  </si>
  <si>
    <t>Investments and cost of SCR</t>
  </si>
  <si>
    <t>In this case, to determine the operating cost, the SNCR and SCR technologies are considered. The different costs are the following:</t>
  </si>
  <si>
    <t>For this specific pollutant, the glass group of experts has considered that it could not be relevant to distinguish bag filters and electrostatic precipitators.</t>
  </si>
  <si>
    <t xml:space="preserve">Reference installation </t>
  </si>
  <si>
    <t>Investments and cost of SNCR</t>
  </si>
  <si>
    <t>Reference installation</t>
  </si>
  <si>
    <t>[t of glass melted/d]</t>
  </si>
  <si>
    <t>[k€/ t glass melted]</t>
  </si>
  <si>
    <t>[person-year/t glass melted]</t>
  </si>
  <si>
    <r>
      <t>[t pollutant/</t>
    </r>
    <r>
      <rPr>
        <b/>
        <sz val="12"/>
        <rFont val="Times New Roman"/>
        <family val="1"/>
      </rPr>
      <t>t glass melted</t>
    </r>
    <r>
      <rPr>
        <sz val="12"/>
        <rFont val="Times New Roman"/>
        <family val="1"/>
      </rPr>
      <t>]</t>
    </r>
  </si>
  <si>
    <t>[€/t NH3]</t>
  </si>
  <si>
    <t>[t NH3/t pollutant removed]</t>
  </si>
  <si>
    <r>
      <t>[person-year/</t>
    </r>
    <r>
      <rPr>
        <b/>
        <sz val="12"/>
        <rFont val="Times New Roman"/>
        <family val="1"/>
      </rPr>
      <t>t glass melted</t>
    </r>
    <r>
      <rPr>
        <sz val="12"/>
        <rFont val="Times New Roman"/>
        <family val="1"/>
      </rPr>
      <t>]</t>
    </r>
  </si>
  <si>
    <r>
      <t>[m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</t>
    </r>
    <r>
      <rPr>
        <b/>
        <sz val="12"/>
        <rFont val="Times New Roman"/>
        <family val="1"/>
      </rPr>
      <t>t glass melted</t>
    </r>
    <r>
      <rPr>
        <sz val="12"/>
        <rFont val="Times New Roman"/>
        <family val="1"/>
      </rPr>
      <t>]</t>
    </r>
  </si>
  <si>
    <t>Parameters common for all sectors within a given country( in this case it's France)</t>
  </si>
  <si>
    <t>Parameter calculated automatically</t>
  </si>
  <si>
    <t>Parameters determined during the different meetings of the glass-group</t>
  </si>
  <si>
    <t>Parameters to be inserted for cost calculation</t>
  </si>
  <si>
    <t>Legend:</t>
  </si>
  <si>
    <t>Ca/S (mol/mol) ratio</t>
  </si>
  <si>
    <t>NH3/NOx (mol/mol) ratio</t>
  </si>
  <si>
    <t xml:space="preserve">NH3 price </t>
  </si>
  <si>
    <t>Lime cost</t>
  </si>
  <si>
    <t>[€/t lime]</t>
  </si>
  <si>
    <t>[t lime/t pollutant removed]</t>
  </si>
  <si>
    <t xml:space="preserve">specific lime demand </t>
  </si>
  <si>
    <t xml:space="preserve">In this case, we will use the costs of ESP 96% because the cost of bag filters are similar with these of ESP </t>
  </si>
  <si>
    <t>90 % of SCR</t>
  </si>
  <si>
    <t>10 % of SNCR</t>
  </si>
  <si>
    <t>Hypotheses : In the glass industry, the costs are closer to the costs of the SCR process. To obtain the cost of the secondary measures, the following repartition is taken into account :</t>
  </si>
  <si>
    <t>catalyst volume</t>
  </si>
  <si>
    <t>[k€/ t glass melted-year]</t>
  </si>
  <si>
    <t>Investment for SCR without catalyst</t>
  </si>
  <si>
    <t>Investment for catalyst</t>
  </si>
  <si>
    <t>Annualized capital costs for SCR</t>
  </si>
  <si>
    <t>Annualized capital costs for catalyst</t>
  </si>
  <si>
    <t xml:space="preserve">catalyst volume </t>
  </si>
  <si>
    <r>
      <t>[kWh/</t>
    </r>
    <r>
      <rPr>
        <b/>
        <sz val="12"/>
        <rFont val="Times New Roman"/>
        <family val="1"/>
      </rPr>
      <t>t glass melted</t>
    </r>
    <r>
      <rPr>
        <sz val="12"/>
        <rFont val="Times New Roman"/>
        <family val="1"/>
      </rPr>
      <t>]</t>
    </r>
  </si>
  <si>
    <t>[%/a] of specific investment</t>
  </si>
  <si>
    <t xml:space="preserve">Lime price </t>
  </si>
  <si>
    <r>
      <t>[</t>
    </r>
    <r>
      <rPr>
        <sz val="12"/>
        <rFont val="Times New Roman"/>
        <family val="1"/>
      </rPr>
      <t>hrs]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</si>
</sst>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00"/>
  </numFmts>
  <fonts count="18">
    <font>
      <sz val="10"/>
      <name val="Arial"/>
      <family val="0"/>
    </font>
    <font>
      <sz val="12"/>
      <name val="Symbol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8"/>
      <name val="Tahoma"/>
      <family val="0"/>
    </font>
    <font>
      <sz val="12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justify"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justify"/>
    </xf>
    <xf numFmtId="0" fontId="4" fillId="3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justify"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justify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0" xfId="0" applyFont="1" applyFill="1" applyBorder="1" applyAlignment="1">
      <alignment horizontal="justify"/>
    </xf>
    <xf numFmtId="0" fontId="4" fillId="3" borderId="4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0" xfId="0" applyFont="1" applyAlignment="1">
      <alignment/>
    </xf>
    <xf numFmtId="0" fontId="11" fillId="3" borderId="0" xfId="0" applyFont="1" applyFill="1" applyAlignment="1">
      <alignment/>
    </xf>
    <xf numFmtId="0" fontId="10" fillId="0" borderId="2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0" fillId="3" borderId="8" xfId="0" applyFill="1" applyBorder="1" applyAlignment="1">
      <alignment/>
    </xf>
    <xf numFmtId="0" fontId="14" fillId="3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6" fillId="2" borderId="8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5" borderId="4" xfId="0" applyFill="1" applyBorder="1" applyAlignment="1">
      <alignment/>
    </xf>
    <xf numFmtId="0" fontId="14" fillId="0" borderId="0" xfId="0" applyFont="1" applyBorder="1" applyAlignment="1">
      <alignment/>
    </xf>
    <xf numFmtId="0" fontId="0" fillId="4" borderId="4" xfId="0" applyFill="1" applyBorder="1" applyAlignment="1">
      <alignment/>
    </xf>
    <xf numFmtId="0" fontId="14" fillId="0" borderId="9" xfId="0" applyFont="1" applyBorder="1" applyAlignment="1">
      <alignment horizontal="center"/>
    </xf>
    <xf numFmtId="0" fontId="14" fillId="0" borderId="6" xfId="0" applyFont="1" applyFill="1" applyBorder="1" applyAlignment="1">
      <alignment/>
    </xf>
    <xf numFmtId="0" fontId="13" fillId="0" borderId="4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1" fontId="0" fillId="2" borderId="8" xfId="0" applyNumberFormat="1" applyFill="1" applyBorder="1" applyAlignment="1">
      <alignment horizontal="center"/>
    </xf>
    <xf numFmtId="11" fontId="6" fillId="2" borderId="0" xfId="0" applyNumberFormat="1" applyFont="1" applyFill="1" applyBorder="1" applyAlignment="1">
      <alignment horizontal="center"/>
    </xf>
    <xf numFmtId="11" fontId="6" fillId="2" borderId="0" xfId="0" applyNumberFormat="1" applyFont="1" applyFill="1" applyBorder="1" applyAlignment="1">
      <alignment horizontal="center"/>
    </xf>
    <xf numFmtId="11" fontId="6" fillId="3" borderId="0" xfId="0" applyNumberFormat="1" applyFont="1" applyFill="1" applyBorder="1" applyAlignment="1">
      <alignment/>
    </xf>
    <xf numFmtId="175" fontId="6" fillId="3" borderId="0" xfId="0" applyNumberFormat="1" applyFont="1" applyFill="1" applyBorder="1" applyAlignment="1">
      <alignment/>
    </xf>
    <xf numFmtId="11" fontId="0" fillId="4" borderId="0" xfId="0" applyNumberFormat="1" applyFill="1" applyBorder="1" applyAlignment="1">
      <alignment/>
    </xf>
    <xf numFmtId="175" fontId="6" fillId="3" borderId="0" xfId="0" applyNumberFormat="1" applyFont="1" applyFill="1" applyAlignment="1">
      <alignment/>
    </xf>
    <xf numFmtId="11" fontId="6" fillId="3" borderId="0" xfId="0" applyNumberFormat="1" applyFont="1" applyFill="1" applyAlignment="1">
      <alignment/>
    </xf>
    <xf numFmtId="0" fontId="16" fillId="0" borderId="0" xfId="0" applyFont="1" applyBorder="1" applyAlignment="1">
      <alignment/>
    </xf>
    <xf numFmtId="11" fontId="0" fillId="2" borderId="8" xfId="0" applyNumberFormat="1" applyFont="1" applyFill="1" applyBorder="1" applyAlignment="1">
      <alignment horizontal="center"/>
    </xf>
    <xf numFmtId="11" fontId="0" fillId="0" borderId="0" xfId="0" applyNumberFormat="1" applyAlignment="1">
      <alignment/>
    </xf>
    <xf numFmtId="0" fontId="14" fillId="3" borderId="0" xfId="0" applyFont="1" applyFill="1" applyAlignment="1">
      <alignment/>
    </xf>
    <xf numFmtId="11" fontId="0" fillId="0" borderId="0" xfId="0" applyNumberFormat="1" applyBorder="1" applyAlignment="1">
      <alignment/>
    </xf>
    <xf numFmtId="2" fontId="6" fillId="2" borderId="0" xfId="0" applyNumberFormat="1" applyFont="1" applyFill="1" applyBorder="1" applyAlignment="1">
      <alignment horizontal="center"/>
    </xf>
    <xf numFmtId="11" fontId="6" fillId="2" borderId="8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/>
    </xf>
    <xf numFmtId="2" fontId="6" fillId="3" borderId="0" xfId="0" applyNumberFormat="1" applyFont="1" applyFill="1" applyAlignment="1">
      <alignment/>
    </xf>
    <xf numFmtId="0" fontId="13" fillId="0" borderId="4" xfId="0" applyFont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1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0" xfId="0" applyNumberFormat="1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B1">
      <selection activeCell="D24" sqref="D24"/>
    </sheetView>
  </sheetViews>
  <sheetFormatPr defaultColWidth="11.421875" defaultRowHeight="12.75"/>
  <cols>
    <col min="1" max="1" width="28.8515625" style="0" bestFit="1" customWidth="1"/>
    <col min="2" max="2" width="51.00390625" style="0" bestFit="1" customWidth="1"/>
    <col min="3" max="3" width="21.28125" style="0" bestFit="1" customWidth="1"/>
    <col min="4" max="4" width="9.140625" style="0" bestFit="1" customWidth="1"/>
    <col min="5" max="5" width="20.421875" style="0" bestFit="1" customWidth="1"/>
    <col min="6" max="6" width="28.7109375" style="0" bestFit="1" customWidth="1"/>
    <col min="7" max="7" width="27.421875" style="0" bestFit="1" customWidth="1"/>
    <col min="8" max="8" width="27.57421875" style="0" bestFit="1" customWidth="1"/>
    <col min="9" max="9" width="8.7109375" style="0" bestFit="1" customWidth="1"/>
    <col min="10" max="10" width="21.140625" style="0" bestFit="1" customWidth="1"/>
    <col min="11" max="11" width="11.421875" style="30" customWidth="1"/>
  </cols>
  <sheetData>
    <row r="1" spans="2:3" ht="20.25">
      <c r="B1" s="45" t="s">
        <v>73</v>
      </c>
      <c r="C1" s="14"/>
    </row>
    <row r="2" ht="15">
      <c r="A2" s="48" t="s">
        <v>74</v>
      </c>
    </row>
    <row r="3" spans="1:3" ht="15.75">
      <c r="A3" s="107" t="s">
        <v>77</v>
      </c>
      <c r="B3" s="107"/>
      <c r="C3" s="107"/>
    </row>
    <row r="4" ht="15.75" customHeight="1">
      <c r="A4" s="1" t="s">
        <v>101</v>
      </c>
    </row>
    <row r="5" spans="9:10" ht="13.5" thickBot="1">
      <c r="I5" s="30"/>
      <c r="J5" s="30"/>
    </row>
    <row r="6" spans="1:10" ht="20.25">
      <c r="A6" s="26"/>
      <c r="B6" s="47" t="s">
        <v>48</v>
      </c>
      <c r="C6" s="27"/>
      <c r="D6" s="27"/>
      <c r="E6" s="27"/>
      <c r="F6" s="27"/>
      <c r="G6" s="27"/>
      <c r="H6" s="27"/>
      <c r="I6" s="30"/>
      <c r="J6" s="30"/>
    </row>
    <row r="7" spans="1:10" ht="12.75">
      <c r="A7" s="29"/>
      <c r="B7" s="30"/>
      <c r="C7" s="30"/>
      <c r="D7" s="30"/>
      <c r="E7" s="30"/>
      <c r="F7" s="30"/>
      <c r="G7" s="30"/>
      <c r="H7" s="30"/>
      <c r="I7" s="30"/>
      <c r="J7" s="30"/>
    </row>
    <row r="8" spans="1:10" ht="12.75">
      <c r="A8" s="32"/>
      <c r="B8" s="33"/>
      <c r="C8" s="34" t="s">
        <v>78</v>
      </c>
      <c r="D8" s="30"/>
      <c r="E8" s="30"/>
      <c r="F8" s="30"/>
      <c r="G8" s="30"/>
      <c r="H8" s="30"/>
      <c r="I8" s="30"/>
      <c r="J8" s="30"/>
    </row>
    <row r="9" spans="1:10" ht="12.75">
      <c r="A9" s="32"/>
      <c r="B9" s="33"/>
      <c r="C9" s="35"/>
      <c r="D9" s="30"/>
      <c r="E9" s="30"/>
      <c r="F9" s="30"/>
      <c r="G9" s="30"/>
      <c r="H9" s="30"/>
      <c r="I9" s="30"/>
      <c r="J9" s="30"/>
    </row>
    <row r="10" spans="1:10" ht="12.75">
      <c r="A10" s="36" t="s">
        <v>37</v>
      </c>
      <c r="B10" s="33"/>
      <c r="C10" s="35"/>
      <c r="D10" s="30"/>
      <c r="E10" s="30"/>
      <c r="F10" s="30"/>
      <c r="G10" s="30"/>
      <c r="H10" s="30"/>
      <c r="I10" s="30"/>
      <c r="J10" s="30"/>
    </row>
    <row r="11" spans="1:10" ht="12.75">
      <c r="A11" s="37"/>
      <c r="B11" s="33"/>
      <c r="C11" s="38"/>
      <c r="D11" s="30"/>
      <c r="E11" s="106" t="s">
        <v>49</v>
      </c>
      <c r="F11" s="106"/>
      <c r="G11" s="106"/>
      <c r="H11" s="30"/>
      <c r="I11" s="30"/>
      <c r="J11" s="30"/>
    </row>
    <row r="12" spans="1:10" ht="15.75">
      <c r="A12" s="32" t="s">
        <v>36</v>
      </c>
      <c r="B12" s="39" t="s">
        <v>81</v>
      </c>
      <c r="C12" s="63">
        <v>170</v>
      </c>
      <c r="D12" s="30"/>
      <c r="E12" s="30"/>
      <c r="F12" s="30"/>
      <c r="G12" s="30"/>
      <c r="H12" s="30"/>
      <c r="I12" s="30"/>
      <c r="J12" s="30"/>
    </row>
    <row r="13" spans="1:10" ht="15.75">
      <c r="A13" s="37" t="s">
        <v>30</v>
      </c>
      <c r="B13" s="41" t="s">
        <v>33</v>
      </c>
      <c r="C13" s="63">
        <v>8</v>
      </c>
      <c r="D13" s="30"/>
      <c r="E13" s="30"/>
      <c r="F13" s="30"/>
      <c r="G13" s="30"/>
      <c r="H13" s="30"/>
      <c r="I13" s="30"/>
      <c r="J13" s="30"/>
    </row>
    <row r="14" spans="1:10" ht="15.75">
      <c r="A14" s="37" t="s">
        <v>38</v>
      </c>
      <c r="B14" s="39" t="s">
        <v>10</v>
      </c>
      <c r="C14" s="63">
        <v>8760</v>
      </c>
      <c r="D14" s="30"/>
      <c r="E14" s="15"/>
      <c r="F14" s="15"/>
      <c r="G14" s="15"/>
      <c r="H14" s="16" t="s">
        <v>78</v>
      </c>
      <c r="I14" s="30"/>
      <c r="J14" s="30"/>
    </row>
    <row r="15" spans="1:10" ht="15.75">
      <c r="A15" s="42"/>
      <c r="B15" s="33"/>
      <c r="C15" s="35"/>
      <c r="D15" s="30"/>
      <c r="E15" s="16" t="s">
        <v>16</v>
      </c>
      <c r="F15" s="16" t="s">
        <v>17</v>
      </c>
      <c r="G15" s="16" t="s">
        <v>15</v>
      </c>
      <c r="H15" s="15"/>
      <c r="I15" s="30"/>
      <c r="J15" s="30"/>
    </row>
    <row r="16" spans="1:10" ht="16.5" thickBot="1">
      <c r="A16" s="42"/>
      <c r="B16" s="33"/>
      <c r="C16" s="35"/>
      <c r="D16" s="30"/>
      <c r="E16" s="15"/>
      <c r="F16" s="15"/>
      <c r="G16" s="15"/>
      <c r="H16" s="15"/>
      <c r="I16" s="30"/>
      <c r="J16" s="30"/>
    </row>
    <row r="17" spans="1:10" ht="16.5" thickBot="1">
      <c r="A17" s="36" t="s">
        <v>25</v>
      </c>
      <c r="B17" s="41" t="s">
        <v>26</v>
      </c>
      <c r="C17" s="59">
        <v>900</v>
      </c>
      <c r="D17" s="30"/>
      <c r="E17" s="17" t="s">
        <v>21</v>
      </c>
      <c r="F17" s="15"/>
      <c r="G17" s="15"/>
      <c r="H17" s="18"/>
      <c r="I17" s="30"/>
      <c r="J17" s="30"/>
    </row>
    <row r="18" spans="1:10" ht="19.5" thickBot="1">
      <c r="A18" s="32"/>
      <c r="B18" s="41"/>
      <c r="C18" s="33"/>
      <c r="D18" s="30"/>
      <c r="E18" s="19" t="s">
        <v>0</v>
      </c>
      <c r="F18" s="20" t="s">
        <v>1</v>
      </c>
      <c r="G18" s="20" t="s">
        <v>112</v>
      </c>
      <c r="H18" s="100">
        <f>16.1</f>
        <v>16.1</v>
      </c>
      <c r="I18" s="30"/>
      <c r="J18" s="30"/>
    </row>
    <row r="19" spans="1:10" ht="18.75">
      <c r="A19" s="36" t="s">
        <v>29</v>
      </c>
      <c r="B19" s="41" t="s">
        <v>26</v>
      </c>
      <c r="C19" s="33"/>
      <c r="D19" s="30"/>
      <c r="E19" s="20" t="s">
        <v>2</v>
      </c>
      <c r="F19" s="20" t="s">
        <v>3</v>
      </c>
      <c r="G19" s="21" t="s">
        <v>4</v>
      </c>
      <c r="H19" s="69">
        <v>0.0569</v>
      </c>
      <c r="I19" s="30"/>
      <c r="J19" s="30"/>
    </row>
    <row r="20" spans="1:10" ht="16.5" thickBot="1">
      <c r="A20" s="37" t="s">
        <v>34</v>
      </c>
      <c r="B20" s="39" t="s">
        <v>32</v>
      </c>
      <c r="C20" s="68">
        <v>4</v>
      </c>
      <c r="D20" s="30"/>
      <c r="E20" s="15"/>
      <c r="F20" s="22" t="s">
        <v>20</v>
      </c>
      <c r="G20" s="23" t="s">
        <v>82</v>
      </c>
      <c r="H20" s="83">
        <f>H18*H19/1000</f>
        <v>0.00091609</v>
      </c>
      <c r="I20" s="105">
        <f>H20/$H$30</f>
        <v>0.7306494345624069</v>
      </c>
      <c r="J20" s="30"/>
    </row>
    <row r="21" spans="1:10" ht="16.5" thickBot="1">
      <c r="A21" s="37" t="s">
        <v>31</v>
      </c>
      <c r="B21" s="41" t="s">
        <v>33</v>
      </c>
      <c r="C21" s="60">
        <v>10</v>
      </c>
      <c r="D21" s="30"/>
      <c r="E21" s="15"/>
      <c r="F21" s="15"/>
      <c r="G21" s="15"/>
      <c r="H21" s="18"/>
      <c r="I21" s="30"/>
      <c r="J21" s="30"/>
    </row>
    <row r="22" spans="1:10" ht="16.5" thickBot="1">
      <c r="A22" s="32" t="s">
        <v>20</v>
      </c>
      <c r="B22" s="41" t="s">
        <v>26</v>
      </c>
      <c r="C22" s="97">
        <f>C17*((1+C20/100)^C21)/(((1+C20/100)^C21)-1)*C20/100</f>
        <v>110.96184989712276</v>
      </c>
      <c r="D22" s="30"/>
      <c r="E22" s="17" t="s">
        <v>22</v>
      </c>
      <c r="F22" s="15"/>
      <c r="G22" s="15"/>
      <c r="H22" s="18"/>
      <c r="I22" s="30"/>
      <c r="J22" s="30"/>
    </row>
    <row r="23" spans="1:10" ht="32.25" thickBot="1">
      <c r="A23" s="5" t="s">
        <v>20</v>
      </c>
      <c r="B23" s="41" t="s">
        <v>82</v>
      </c>
      <c r="C23" s="89">
        <f>C22/170/365</f>
        <v>0.001788265107125266</v>
      </c>
      <c r="D23" s="101">
        <f>C23/C30</f>
        <v>0.4936897487263702</v>
      </c>
      <c r="E23" s="19" t="s">
        <v>5</v>
      </c>
      <c r="F23" s="20" t="s">
        <v>7</v>
      </c>
      <c r="G23" s="21" t="s">
        <v>83</v>
      </c>
      <c r="H23" s="91">
        <f>9.07*0.000001</f>
        <v>9.07E-06</v>
      </c>
      <c r="I23" s="90"/>
      <c r="J23" s="30"/>
    </row>
    <row r="24" spans="1:10" ht="18.75">
      <c r="A24" s="32"/>
      <c r="B24" s="41"/>
      <c r="C24" s="33"/>
      <c r="D24" s="102"/>
      <c r="E24" s="20" t="s">
        <v>6</v>
      </c>
      <c r="F24" s="20" t="s">
        <v>8</v>
      </c>
      <c r="G24" s="20" t="s">
        <v>9</v>
      </c>
      <c r="H24" s="69">
        <v>37.234</v>
      </c>
      <c r="I24" s="30"/>
      <c r="J24" s="30"/>
    </row>
    <row r="25" spans="1:10" ht="15.75">
      <c r="A25" s="36" t="s">
        <v>27</v>
      </c>
      <c r="B25" s="12" t="s">
        <v>113</v>
      </c>
      <c r="C25" s="33">
        <v>4</v>
      </c>
      <c r="D25" s="102"/>
      <c r="E25" s="20"/>
      <c r="F25" s="25" t="s">
        <v>20</v>
      </c>
      <c r="G25" s="23" t="s">
        <v>82</v>
      </c>
      <c r="H25" s="83">
        <f>H23*H24</f>
        <v>0.00033771238</v>
      </c>
      <c r="I25" s="105">
        <f>H25/$H$30</f>
        <v>0.2693505654375931</v>
      </c>
      <c r="J25" s="30"/>
    </row>
    <row r="26" spans="1:10" ht="15.75">
      <c r="A26" s="32" t="s">
        <v>20</v>
      </c>
      <c r="B26" s="41" t="s">
        <v>82</v>
      </c>
      <c r="C26" s="85">
        <f>C25*C17/100/365/170</f>
        <v>0.0005801772763900081</v>
      </c>
      <c r="D26" s="101">
        <f>C26/C30</f>
        <v>0.16017064397022257</v>
      </c>
      <c r="E26" s="15"/>
      <c r="F26" s="15"/>
      <c r="G26" s="15"/>
      <c r="H26" s="18"/>
      <c r="I26" s="30"/>
      <c r="J26" s="30"/>
    </row>
    <row r="27" spans="1:10" ht="15.75">
      <c r="A27" s="32"/>
      <c r="B27" s="41"/>
      <c r="C27" s="33"/>
      <c r="D27" s="102"/>
      <c r="E27" s="17" t="s">
        <v>23</v>
      </c>
      <c r="F27" s="25" t="s">
        <v>20</v>
      </c>
      <c r="G27" s="23" t="s">
        <v>82</v>
      </c>
      <c r="H27" s="24">
        <v>0</v>
      </c>
      <c r="I27" s="105">
        <f>H27/$H$30</f>
        <v>0</v>
      </c>
      <c r="J27" s="30"/>
    </row>
    <row r="28" spans="1:10" ht="15.75">
      <c r="A28" s="36" t="s">
        <v>28</v>
      </c>
      <c r="B28" s="41" t="s">
        <v>82</v>
      </c>
      <c r="C28" s="85">
        <f>H30</f>
        <v>0.00125380238</v>
      </c>
      <c r="D28" s="101">
        <f>C28/C30</f>
        <v>0.3461396073034072</v>
      </c>
      <c r="E28" s="15"/>
      <c r="F28" s="62"/>
      <c r="G28" s="62"/>
      <c r="H28" s="62"/>
      <c r="I28" s="30"/>
      <c r="J28" s="30"/>
    </row>
    <row r="29" spans="1:10" ht="15.75">
      <c r="A29" s="32"/>
      <c r="B29" s="41"/>
      <c r="C29" s="33"/>
      <c r="D29" s="30"/>
      <c r="E29" s="15"/>
      <c r="F29" s="15"/>
      <c r="G29" s="15"/>
      <c r="H29" s="18"/>
      <c r="I29" s="30"/>
      <c r="J29" s="30"/>
    </row>
    <row r="30" spans="1:10" ht="15.75">
      <c r="A30" s="36" t="s">
        <v>35</v>
      </c>
      <c r="B30" s="41" t="s">
        <v>82</v>
      </c>
      <c r="C30" s="85">
        <f>C28+C26+(C22)/C12/365</f>
        <v>0.003622244763515274</v>
      </c>
      <c r="D30" s="30"/>
      <c r="E30" s="17" t="s">
        <v>24</v>
      </c>
      <c r="F30" s="17"/>
      <c r="G30" s="23" t="s">
        <v>82</v>
      </c>
      <c r="H30" s="84">
        <f>H27+H25+H20</f>
        <v>0.00125380238</v>
      </c>
      <c r="I30" s="105">
        <f>H30/$H$30</f>
        <v>1</v>
      </c>
      <c r="J30" s="30"/>
    </row>
    <row r="31" spans="1:10" ht="12.75">
      <c r="A31" s="32"/>
      <c r="B31" s="33"/>
      <c r="C31" s="33"/>
      <c r="D31" s="30"/>
      <c r="E31" s="30"/>
      <c r="F31" s="30"/>
      <c r="G31" s="30"/>
      <c r="H31" s="30"/>
      <c r="I31" s="30"/>
      <c r="J31" s="30"/>
    </row>
    <row r="32" spans="1:10" ht="15.75">
      <c r="A32" s="36" t="s">
        <v>42</v>
      </c>
      <c r="B32" s="41" t="s">
        <v>43</v>
      </c>
      <c r="C32" s="33"/>
      <c r="D32" s="30"/>
      <c r="E32" s="94"/>
      <c r="F32" s="30"/>
      <c r="G32" s="30"/>
      <c r="H32" s="30"/>
      <c r="I32" s="30"/>
      <c r="J32" s="30"/>
    </row>
    <row r="33" spans="1:10" ht="14.25">
      <c r="A33" s="32" t="s">
        <v>44</v>
      </c>
      <c r="B33" s="61" t="s">
        <v>46</v>
      </c>
      <c r="C33" s="87">
        <f>725*0.000001</f>
        <v>0.000725</v>
      </c>
      <c r="D33" s="30"/>
      <c r="E33" s="30"/>
      <c r="F33" s="30"/>
      <c r="G33" s="30"/>
      <c r="H33" s="30"/>
      <c r="I33" s="30"/>
      <c r="J33" s="30"/>
    </row>
    <row r="34" spans="1:10" ht="12.75">
      <c r="A34" s="37" t="s">
        <v>45</v>
      </c>
      <c r="B34" s="33" t="s">
        <v>47</v>
      </c>
      <c r="C34" s="64">
        <v>96</v>
      </c>
      <c r="D34" s="30"/>
      <c r="E34" s="30"/>
      <c r="F34" s="30"/>
      <c r="G34" s="30"/>
      <c r="H34" s="30"/>
      <c r="I34" s="30"/>
      <c r="J34" s="30"/>
    </row>
    <row r="35" spans="1:10" ht="15.75">
      <c r="A35" s="37" t="s">
        <v>20</v>
      </c>
      <c r="B35" s="41" t="s">
        <v>43</v>
      </c>
      <c r="C35" s="86">
        <f>C30/C33/C34*100</f>
        <v>5.204374660223095</v>
      </c>
      <c r="D35" s="30"/>
      <c r="E35" s="30"/>
      <c r="F35" s="51"/>
      <c r="G35" s="94"/>
      <c r="H35" s="30"/>
      <c r="I35" s="30"/>
      <c r="J35" s="30"/>
    </row>
    <row r="36" spans="1:4" ht="13.5" thickBot="1">
      <c r="A36" s="30"/>
      <c r="B36" s="30"/>
      <c r="C36" s="30"/>
      <c r="D36" s="30"/>
    </row>
    <row r="37" spans="1:7" ht="15">
      <c r="A37" s="80" t="s">
        <v>93</v>
      </c>
      <c r="B37" s="27"/>
      <c r="C37" s="27"/>
      <c r="D37" s="28"/>
      <c r="G37" s="92"/>
    </row>
    <row r="38" spans="1:7" ht="15">
      <c r="A38" s="79"/>
      <c r="B38" s="30"/>
      <c r="C38" s="30"/>
      <c r="D38" s="31"/>
      <c r="G38" s="92"/>
    </row>
    <row r="39" spans="1:4" ht="14.25">
      <c r="A39" s="74"/>
      <c r="B39" s="75" t="s">
        <v>89</v>
      </c>
      <c r="C39" s="30"/>
      <c r="D39" s="31"/>
    </row>
    <row r="40" spans="1:4" ht="15" thickBot="1">
      <c r="A40" s="76"/>
      <c r="B40" s="75" t="s">
        <v>91</v>
      </c>
      <c r="C40" s="30"/>
      <c r="D40" s="31"/>
    </row>
    <row r="41" spans="1:4" ht="15" thickBot="1">
      <c r="A41" s="73"/>
      <c r="B41" s="75" t="s">
        <v>92</v>
      </c>
      <c r="C41" s="30"/>
      <c r="D41" s="31"/>
    </row>
    <row r="42" spans="1:4" ht="15" thickBot="1">
      <c r="A42" s="77">
        <v>0</v>
      </c>
      <c r="B42" s="78" t="s">
        <v>90</v>
      </c>
      <c r="C42" s="43"/>
      <c r="D42" s="44"/>
    </row>
  </sheetData>
  <mergeCells count="2">
    <mergeCell ref="E11:G11"/>
    <mergeCell ref="A3:C3"/>
  </mergeCells>
  <printOptions/>
  <pageMargins left="0.75" right="0.75" top="1" bottom="1" header="0.4921259845" footer="0.4921259845"/>
  <pageSetup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="75" zoomScaleNormal="75" workbookViewId="0" topLeftCell="B1">
      <selection activeCell="C25" sqref="C25"/>
    </sheetView>
  </sheetViews>
  <sheetFormatPr defaultColWidth="11.421875" defaultRowHeight="12.75"/>
  <cols>
    <col min="1" max="1" width="28.28125" style="0" customWidth="1"/>
    <col min="2" max="2" width="29.57421875" style="0" customWidth="1"/>
    <col min="3" max="3" width="24.421875" style="0" customWidth="1"/>
    <col min="5" max="5" width="23.57421875" style="0" customWidth="1"/>
    <col min="6" max="6" width="42.7109375" style="0" customWidth="1"/>
    <col min="7" max="7" width="28.7109375" style="0" bestFit="1" customWidth="1"/>
    <col min="8" max="8" width="21.00390625" style="0" bestFit="1" customWidth="1"/>
    <col min="9" max="9" width="8.7109375" style="0" bestFit="1" customWidth="1"/>
  </cols>
  <sheetData>
    <row r="1" ht="20.25">
      <c r="C1" s="45" t="s">
        <v>54</v>
      </c>
    </row>
    <row r="3" spans="1:14" ht="15">
      <c r="A3" s="108" t="s">
        <v>104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ht="15">
      <c r="B4" s="48" t="s">
        <v>102</v>
      </c>
    </row>
    <row r="5" ht="15">
      <c r="B5" s="48" t="s">
        <v>103</v>
      </c>
    </row>
    <row r="7" spans="1:8" ht="12.75">
      <c r="A7" s="29"/>
      <c r="B7" s="30"/>
      <c r="C7" s="30"/>
      <c r="D7" s="30"/>
      <c r="E7" s="30"/>
      <c r="F7" s="49" t="s">
        <v>49</v>
      </c>
      <c r="G7" s="49"/>
      <c r="H7" s="49"/>
    </row>
    <row r="8" spans="1:8" ht="12.75">
      <c r="A8" s="32"/>
      <c r="B8" s="33"/>
      <c r="C8" s="34" t="s">
        <v>78</v>
      </c>
      <c r="D8" s="55"/>
      <c r="E8" s="30"/>
      <c r="F8" s="30"/>
      <c r="G8" s="30"/>
      <c r="H8" s="30"/>
    </row>
    <row r="9" spans="1:8" ht="12.75">
      <c r="A9" s="32"/>
      <c r="B9" s="33"/>
      <c r="C9" s="35"/>
      <c r="D9" s="50"/>
      <c r="E9" s="15"/>
      <c r="F9" s="15"/>
      <c r="G9" s="15"/>
      <c r="H9" s="16" t="s">
        <v>78</v>
      </c>
    </row>
    <row r="10" spans="1:8" ht="12.75">
      <c r="A10" s="36" t="s">
        <v>37</v>
      </c>
      <c r="B10" s="33"/>
      <c r="C10" s="35"/>
      <c r="D10" s="50"/>
      <c r="E10" s="16" t="s">
        <v>16</v>
      </c>
      <c r="F10" s="16" t="s">
        <v>17</v>
      </c>
      <c r="G10" s="16" t="s">
        <v>15</v>
      </c>
      <c r="H10" s="15"/>
    </row>
    <row r="11" spans="1:8" ht="12.75">
      <c r="A11" s="37"/>
      <c r="B11" s="33"/>
      <c r="C11" s="38"/>
      <c r="D11" s="56"/>
      <c r="E11" s="15"/>
      <c r="F11" s="15"/>
      <c r="G11" s="15"/>
      <c r="H11" s="15"/>
    </row>
    <row r="12" spans="1:8" ht="16.5" thickBot="1">
      <c r="A12" s="32" t="s">
        <v>36</v>
      </c>
      <c r="B12" s="39" t="s">
        <v>81</v>
      </c>
      <c r="C12" s="63">
        <v>170</v>
      </c>
      <c r="D12" s="57"/>
      <c r="E12" s="17" t="s">
        <v>21</v>
      </c>
      <c r="F12" s="15"/>
      <c r="G12" s="15"/>
      <c r="H12" s="18"/>
    </row>
    <row r="13" spans="1:8" ht="19.5" thickBot="1">
      <c r="A13" s="40" t="s">
        <v>30</v>
      </c>
      <c r="B13" s="41" t="s">
        <v>33</v>
      </c>
      <c r="C13" s="63">
        <v>8</v>
      </c>
      <c r="D13" s="57"/>
      <c r="E13" s="19" t="s">
        <v>0</v>
      </c>
      <c r="F13" s="20" t="s">
        <v>1</v>
      </c>
      <c r="G13" s="20" t="s">
        <v>112</v>
      </c>
      <c r="H13" s="100">
        <f>0.9*'SNCR+SCR'!H12+0.1*'SNCR+SCR'!H53</f>
        <v>5</v>
      </c>
    </row>
    <row r="14" spans="1:8" ht="18.75">
      <c r="A14" s="40" t="s">
        <v>38</v>
      </c>
      <c r="B14" s="39" t="s">
        <v>10</v>
      </c>
      <c r="C14" s="63">
        <v>8760</v>
      </c>
      <c r="D14" s="57"/>
      <c r="E14" s="20" t="s">
        <v>2</v>
      </c>
      <c r="F14" s="20" t="s">
        <v>3</v>
      </c>
      <c r="G14" s="21" t="s">
        <v>4</v>
      </c>
      <c r="H14" s="69">
        <v>0.0569</v>
      </c>
    </row>
    <row r="15" spans="1:9" ht="15.75">
      <c r="A15" s="42"/>
      <c r="B15" s="33"/>
      <c r="C15" s="35"/>
      <c r="D15" s="50"/>
      <c r="E15" s="15"/>
      <c r="F15" s="22" t="s">
        <v>20</v>
      </c>
      <c r="G15" s="23" t="s">
        <v>82</v>
      </c>
      <c r="H15" s="83">
        <f>H14*H13/1000</f>
        <v>0.0002845</v>
      </c>
      <c r="I15" s="105">
        <f>H15/$H$36</f>
        <v>0.26884639487666084</v>
      </c>
    </row>
    <row r="16" spans="1:8" ht="16.5" thickBot="1">
      <c r="A16" s="42"/>
      <c r="B16" s="33"/>
      <c r="C16" s="35"/>
      <c r="D16" s="50"/>
      <c r="E16" s="15"/>
      <c r="F16" s="22"/>
      <c r="G16" s="23"/>
      <c r="H16" s="24"/>
    </row>
    <row r="17" spans="1:8" ht="16.5" thickBot="1">
      <c r="A17" s="36" t="s">
        <v>25</v>
      </c>
      <c r="B17" s="41" t="s">
        <v>26</v>
      </c>
      <c r="C17" s="59">
        <f>0.9*'SNCR+SCR'!C16+0.1*'SNCR+SCR'!C59</f>
        <v>525</v>
      </c>
      <c r="D17" s="58"/>
      <c r="E17" s="17" t="s">
        <v>55</v>
      </c>
      <c r="F17" s="22"/>
      <c r="G17" s="23"/>
      <c r="H17" s="24"/>
    </row>
    <row r="18" spans="1:8" ht="19.5" thickBot="1">
      <c r="A18" s="32"/>
      <c r="B18" s="41"/>
      <c r="C18" s="33"/>
      <c r="D18" s="51"/>
      <c r="E18" s="20" t="s">
        <v>11</v>
      </c>
      <c r="F18" s="20" t="s">
        <v>13</v>
      </c>
      <c r="G18" s="21" t="s">
        <v>84</v>
      </c>
      <c r="H18" s="65">
        <v>0.0029</v>
      </c>
    </row>
    <row r="19" spans="1:8" ht="16.5" thickBot="1">
      <c r="A19" s="36" t="s">
        <v>29</v>
      </c>
      <c r="B19" s="41" t="s">
        <v>26</v>
      </c>
      <c r="C19" s="33"/>
      <c r="D19" s="51"/>
      <c r="E19" s="20"/>
      <c r="F19" s="20" t="s">
        <v>95</v>
      </c>
      <c r="G19" s="21"/>
      <c r="H19" s="81">
        <f>0.9*'SNCR+SCR'!H18+0.1*'SNCR+SCR'!H60</f>
        <v>1.245</v>
      </c>
    </row>
    <row r="20" spans="1:8" ht="19.5" thickBot="1">
      <c r="A20" s="37" t="s">
        <v>34</v>
      </c>
      <c r="B20" s="39" t="s">
        <v>32</v>
      </c>
      <c r="C20" s="68">
        <v>4</v>
      </c>
      <c r="D20" s="51"/>
      <c r="E20" s="19" t="s">
        <v>56</v>
      </c>
      <c r="F20" s="20" t="s">
        <v>58</v>
      </c>
      <c r="G20" s="21" t="s">
        <v>86</v>
      </c>
      <c r="H20" s="95">
        <f>H19*17/46</f>
        <v>0.460108695652174</v>
      </c>
    </row>
    <row r="21" spans="1:8" ht="19.5" thickBot="1">
      <c r="A21" s="37" t="s">
        <v>31</v>
      </c>
      <c r="B21" s="41" t="s">
        <v>33</v>
      </c>
      <c r="C21" s="60">
        <v>10</v>
      </c>
      <c r="D21" s="51"/>
      <c r="E21" s="20" t="s">
        <v>57</v>
      </c>
      <c r="F21" s="20" t="s">
        <v>96</v>
      </c>
      <c r="G21" s="21" t="s">
        <v>85</v>
      </c>
      <c r="H21" s="70">
        <v>400</v>
      </c>
    </row>
    <row r="22" spans="1:8" ht="18.75">
      <c r="A22" s="32" t="s">
        <v>20</v>
      </c>
      <c r="B22" s="41" t="s">
        <v>26</v>
      </c>
      <c r="C22" s="97">
        <f>C17*((1+C20/100)^C21)/(((1+C20/100)^C21)-1)*C20/100</f>
        <v>64.72774577332162</v>
      </c>
      <c r="D22" s="58"/>
      <c r="E22" s="19" t="s">
        <v>12</v>
      </c>
      <c r="F22" s="20" t="s">
        <v>14</v>
      </c>
      <c r="G22" s="21" t="s">
        <v>47</v>
      </c>
      <c r="H22" s="65">
        <v>50</v>
      </c>
    </row>
    <row r="23" spans="1:9" ht="15.75">
      <c r="A23" s="5" t="s">
        <v>20</v>
      </c>
      <c r="B23" s="41" t="s">
        <v>82</v>
      </c>
      <c r="C23" s="89">
        <f>C22/170/365</f>
        <v>0.0010431546458230718</v>
      </c>
      <c r="D23" s="101"/>
      <c r="E23" s="19"/>
      <c r="F23" s="25" t="s">
        <v>20</v>
      </c>
      <c r="G23" s="23" t="s">
        <v>82</v>
      </c>
      <c r="H23" s="83">
        <f>H18*H20*H21*H22/100/1000</f>
        <v>0.0002668630434782609</v>
      </c>
      <c r="I23" s="105">
        <f>H23/$H$36</f>
        <v>0.2521798494374132</v>
      </c>
    </row>
    <row r="24" spans="1:8" ht="15.75">
      <c r="A24" s="32"/>
      <c r="B24" s="41"/>
      <c r="C24" s="33"/>
      <c r="D24" s="102"/>
      <c r="E24" s="19"/>
      <c r="F24" s="25"/>
      <c r="G24" s="23"/>
      <c r="H24" s="24"/>
    </row>
    <row r="25" spans="1:8" ht="16.5" thickBot="1">
      <c r="A25" s="36" t="s">
        <v>27</v>
      </c>
      <c r="B25" s="12" t="s">
        <v>113</v>
      </c>
      <c r="C25" s="33">
        <v>4</v>
      </c>
      <c r="D25" s="102"/>
      <c r="E25" s="17" t="s">
        <v>59</v>
      </c>
      <c r="F25" s="22"/>
      <c r="G25" s="23"/>
      <c r="H25" s="24"/>
    </row>
    <row r="26" spans="1:8" ht="19.5" thickBot="1">
      <c r="A26" s="32" t="s">
        <v>20</v>
      </c>
      <c r="B26" s="41" t="s">
        <v>82</v>
      </c>
      <c r="C26" s="85">
        <f>C25*C17/100/365/170</f>
        <v>0.000338436744560838</v>
      </c>
      <c r="D26" s="101"/>
      <c r="E26" s="19" t="s">
        <v>60</v>
      </c>
      <c r="F26" s="20" t="s">
        <v>105</v>
      </c>
      <c r="G26" s="21" t="s">
        <v>88</v>
      </c>
      <c r="H26" s="96">
        <f>0.9*'SNCR+SCR'!H25</f>
        <v>0.00011893634165995166</v>
      </c>
    </row>
    <row r="27" spans="1:8" ht="19.5" thickBot="1">
      <c r="A27" s="32"/>
      <c r="B27" s="41"/>
      <c r="C27" s="33"/>
      <c r="D27" s="102"/>
      <c r="E27" s="20" t="s">
        <v>61</v>
      </c>
      <c r="F27" s="20" t="s">
        <v>63</v>
      </c>
      <c r="G27" s="20" t="s">
        <v>65</v>
      </c>
      <c r="H27" s="70">
        <v>15</v>
      </c>
    </row>
    <row r="28" spans="1:8" ht="19.5" thickBot="1">
      <c r="A28" s="36" t="s">
        <v>28</v>
      </c>
      <c r="B28" s="41" t="s">
        <v>82</v>
      </c>
      <c r="C28" s="85">
        <f>0.9*'SNCR+SCR'!C34+0.1*'SNCR+SCR'!C70</f>
        <v>0.0010582250884581157</v>
      </c>
      <c r="D28" s="101"/>
      <c r="E28" s="20" t="s">
        <v>62</v>
      </c>
      <c r="F28" s="20" t="s">
        <v>64</v>
      </c>
      <c r="G28" s="21" t="s">
        <v>115</v>
      </c>
      <c r="H28" s="72">
        <f>5*C14</f>
        <v>43800</v>
      </c>
    </row>
    <row r="29" spans="1:9" ht="15.75">
      <c r="A29" s="32"/>
      <c r="B29" s="41"/>
      <c r="C29" s="85"/>
      <c r="D29" s="51"/>
      <c r="E29" s="17"/>
      <c r="F29" s="22" t="s">
        <v>20</v>
      </c>
      <c r="G29" s="23" t="s">
        <v>82</v>
      </c>
      <c r="H29" s="83">
        <f>H26*H27/5</f>
        <v>0.00035680902497985497</v>
      </c>
      <c r="I29" s="105">
        <f>H29/$H$36</f>
        <v>0.3371768717936395</v>
      </c>
    </row>
    <row r="30" spans="1:8" ht="15.75">
      <c r="A30" s="36" t="s">
        <v>35</v>
      </c>
      <c r="B30" s="41" t="s">
        <v>82</v>
      </c>
      <c r="C30" s="85">
        <f>0.9*'SNCR+SCR'!C36+0.1*'SNCR+SCR'!C72</f>
        <v>0.0026544082916970576</v>
      </c>
      <c r="D30" s="58"/>
      <c r="E30" s="15"/>
      <c r="F30" s="15"/>
      <c r="G30" s="15"/>
      <c r="H30" s="18"/>
    </row>
    <row r="31" spans="1:8" ht="13.5" thickBot="1">
      <c r="A31" s="32"/>
      <c r="B31" s="33"/>
      <c r="C31" s="33"/>
      <c r="D31" s="51"/>
      <c r="E31" s="17" t="s">
        <v>22</v>
      </c>
      <c r="F31" s="15"/>
      <c r="G31" s="15"/>
      <c r="H31" s="18"/>
    </row>
    <row r="32" spans="1:8" ht="19.5" thickBot="1">
      <c r="A32" s="32"/>
      <c r="B32" s="33"/>
      <c r="C32" s="33"/>
      <c r="D32" s="51"/>
      <c r="E32" s="19" t="s">
        <v>5</v>
      </c>
      <c r="F32" s="20" t="s">
        <v>7</v>
      </c>
      <c r="G32" s="21" t="s">
        <v>87</v>
      </c>
      <c r="H32" s="82">
        <f>4.03*0.000001</f>
        <v>4.03E-06</v>
      </c>
    </row>
    <row r="33" spans="1:8" ht="18.75">
      <c r="A33" s="36" t="s">
        <v>51</v>
      </c>
      <c r="B33" s="41" t="s">
        <v>53</v>
      </c>
      <c r="C33" s="33"/>
      <c r="D33" s="51"/>
      <c r="E33" s="20" t="s">
        <v>6</v>
      </c>
      <c r="F33" s="20" t="s">
        <v>8</v>
      </c>
      <c r="G33" s="20" t="s">
        <v>9</v>
      </c>
      <c r="H33" s="69">
        <v>37.234</v>
      </c>
    </row>
    <row r="34" spans="1:9" ht="15.75">
      <c r="A34" s="32" t="s">
        <v>44</v>
      </c>
      <c r="B34" s="33" t="s">
        <v>52</v>
      </c>
      <c r="C34" s="64">
        <f>0.0029</f>
        <v>0.0029</v>
      </c>
      <c r="D34" s="51"/>
      <c r="E34" s="20"/>
      <c r="F34" s="25" t="s">
        <v>20</v>
      </c>
      <c r="G34" s="23" t="s">
        <v>82</v>
      </c>
      <c r="H34" s="83">
        <f>H32*H33</f>
        <v>0.00015005302</v>
      </c>
      <c r="I34" s="105">
        <f>H34/$H$36</f>
        <v>0.14179688389228645</v>
      </c>
    </row>
    <row r="35" spans="1:8" ht="12.75">
      <c r="A35" s="37" t="s">
        <v>45</v>
      </c>
      <c r="B35" s="33" t="s">
        <v>47</v>
      </c>
      <c r="C35" s="64">
        <v>50</v>
      </c>
      <c r="D35" s="51"/>
      <c r="E35" s="15"/>
      <c r="F35" s="15"/>
      <c r="G35" s="15"/>
      <c r="H35" s="18"/>
    </row>
    <row r="36" spans="1:9" ht="15.75">
      <c r="A36" s="37" t="s">
        <v>20</v>
      </c>
      <c r="B36" s="41" t="s">
        <v>53</v>
      </c>
      <c r="C36" s="86">
        <f>C30/C34/C35*100</f>
        <v>1.8306264080669363</v>
      </c>
      <c r="D36" s="58"/>
      <c r="E36" s="17" t="s">
        <v>24</v>
      </c>
      <c r="F36" s="17"/>
      <c r="G36" s="23" t="s">
        <v>82</v>
      </c>
      <c r="H36" s="84">
        <f>H15+H23+H29+H34</f>
        <v>0.001058225088458116</v>
      </c>
      <c r="I36" s="105">
        <f>H36/$H$36</f>
        <v>1</v>
      </c>
    </row>
  </sheetData>
  <mergeCells count="1">
    <mergeCell ref="A3:N3"/>
  </mergeCells>
  <printOptions/>
  <pageMargins left="0.75" right="0.75" top="1" bottom="1" header="0.4921259845" footer="0.492125984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zoomScale="75" zoomScaleNormal="75" workbookViewId="0" topLeftCell="A6">
      <selection activeCell="E45" sqref="E45"/>
    </sheetView>
  </sheetViews>
  <sheetFormatPr defaultColWidth="11.421875" defaultRowHeight="12.75"/>
  <cols>
    <col min="1" max="1" width="43.00390625" style="0" bestFit="1" customWidth="1"/>
    <col min="2" max="2" width="28.421875" style="0" customWidth="1"/>
    <col min="3" max="3" width="27.00390625" style="0" bestFit="1" customWidth="1"/>
    <col min="4" max="4" width="15.8515625" style="0" customWidth="1"/>
    <col min="5" max="5" width="20.57421875" style="0" customWidth="1"/>
    <col min="6" max="6" width="38.57421875" style="0" customWidth="1"/>
    <col min="7" max="7" width="29.140625" style="0" customWidth="1"/>
    <col min="8" max="8" width="21.8515625" style="0" bestFit="1" customWidth="1"/>
    <col min="9" max="9" width="5.28125" style="0" bestFit="1" customWidth="1"/>
    <col min="10" max="10" width="10.8515625" style="0" bestFit="1" customWidth="1"/>
  </cols>
  <sheetData>
    <row r="1" ht="20.25">
      <c r="B1" s="45" t="s">
        <v>54</v>
      </c>
    </row>
    <row r="2" ht="20.25">
      <c r="B2" s="45"/>
    </row>
    <row r="3" spans="1:3" ht="54" customHeight="1">
      <c r="A3" s="109" t="s">
        <v>76</v>
      </c>
      <c r="B3" s="109"/>
      <c r="C3" s="109"/>
    </row>
    <row r="4" ht="13.5" thickBot="1"/>
    <row r="5" spans="1:12" ht="20.25">
      <c r="A5" s="26"/>
      <c r="B5" s="47" t="s">
        <v>75</v>
      </c>
      <c r="C5" s="27"/>
      <c r="D5" s="27"/>
      <c r="E5" s="27"/>
      <c r="F5" s="27"/>
      <c r="G5" s="27"/>
      <c r="H5" s="27"/>
      <c r="I5" s="30"/>
      <c r="J5" s="30"/>
      <c r="K5" s="30"/>
      <c r="L5" s="30"/>
    </row>
    <row r="6" spans="1:12" ht="12.75">
      <c r="A6" s="29"/>
      <c r="B6" s="30"/>
      <c r="C6" s="30"/>
      <c r="D6" s="30"/>
      <c r="E6" s="30"/>
      <c r="F6" s="49" t="s">
        <v>49</v>
      </c>
      <c r="G6" s="49"/>
      <c r="H6" s="49"/>
      <c r="I6" s="49"/>
      <c r="J6" s="49"/>
      <c r="K6" s="30"/>
      <c r="L6" s="30"/>
    </row>
    <row r="7" spans="1:12" ht="12.75">
      <c r="A7" s="32"/>
      <c r="B7" s="33"/>
      <c r="C7" s="34" t="s">
        <v>78</v>
      </c>
      <c r="D7" s="55"/>
      <c r="E7" s="30"/>
      <c r="F7" s="30"/>
      <c r="G7" s="30"/>
      <c r="H7" s="30"/>
      <c r="I7" s="30"/>
      <c r="J7" s="30"/>
      <c r="K7" s="30"/>
      <c r="L7" s="30"/>
    </row>
    <row r="8" spans="1:11" ht="12.75">
      <c r="A8" s="32"/>
      <c r="B8" s="33"/>
      <c r="C8" s="35"/>
      <c r="D8" s="50"/>
      <c r="E8" s="15"/>
      <c r="F8" s="15"/>
      <c r="G8" s="15"/>
      <c r="H8" s="16" t="s">
        <v>78</v>
      </c>
      <c r="I8" s="30"/>
      <c r="J8" s="30"/>
      <c r="K8" s="30"/>
    </row>
    <row r="9" spans="1:11" ht="12.75">
      <c r="A9" s="36" t="s">
        <v>37</v>
      </c>
      <c r="B9" s="33"/>
      <c r="C9" s="35"/>
      <c r="D9" s="50"/>
      <c r="E9" s="16" t="s">
        <v>16</v>
      </c>
      <c r="F9" s="16" t="s">
        <v>17</v>
      </c>
      <c r="G9" s="16" t="s">
        <v>15</v>
      </c>
      <c r="H9" s="15"/>
      <c r="J9" s="50"/>
      <c r="K9" s="30"/>
    </row>
    <row r="10" spans="1:11" ht="12.75">
      <c r="A10" s="37"/>
      <c r="B10" s="33"/>
      <c r="C10" s="38"/>
      <c r="D10" s="56"/>
      <c r="E10" s="15"/>
      <c r="F10" s="15"/>
      <c r="G10" s="15"/>
      <c r="H10" s="15"/>
      <c r="J10" s="51"/>
      <c r="K10" s="30"/>
    </row>
    <row r="11" spans="1:11" ht="16.5" thickBot="1">
      <c r="A11" s="32" t="s">
        <v>36</v>
      </c>
      <c r="B11" s="39" t="s">
        <v>81</v>
      </c>
      <c r="C11" s="63">
        <v>170</v>
      </c>
      <c r="D11" s="57"/>
      <c r="E11" s="17" t="s">
        <v>21</v>
      </c>
      <c r="F11" s="15"/>
      <c r="G11" s="15"/>
      <c r="H11" s="18"/>
      <c r="J11" s="51"/>
      <c r="K11" s="30"/>
    </row>
    <row r="12" spans="1:11" ht="19.5" thickBot="1">
      <c r="A12" s="40" t="s">
        <v>30</v>
      </c>
      <c r="B12" s="41" t="s">
        <v>33</v>
      </c>
      <c r="C12" s="63">
        <v>8</v>
      </c>
      <c r="D12" s="57"/>
      <c r="E12" s="19" t="s">
        <v>0</v>
      </c>
      <c r="F12" s="20" t="s">
        <v>1</v>
      </c>
      <c r="G12" s="20" t="s">
        <v>112</v>
      </c>
      <c r="H12" s="100">
        <f>5</f>
        <v>5</v>
      </c>
      <c r="J12" s="52"/>
      <c r="K12" s="30"/>
    </row>
    <row r="13" spans="1:11" ht="18.75">
      <c r="A13" s="40" t="s">
        <v>38</v>
      </c>
      <c r="B13" s="39" t="s">
        <v>10</v>
      </c>
      <c r="C13" s="63">
        <v>8760</v>
      </c>
      <c r="D13" s="57"/>
      <c r="E13" s="20" t="s">
        <v>2</v>
      </c>
      <c r="F13" s="20" t="s">
        <v>3</v>
      </c>
      <c r="G13" s="21" t="s">
        <v>4</v>
      </c>
      <c r="H13" s="69">
        <v>0.0569</v>
      </c>
      <c r="J13" s="52"/>
      <c r="K13" s="30"/>
    </row>
    <row r="14" spans="1:11" ht="15.75">
      <c r="A14" s="42"/>
      <c r="B14" s="33"/>
      <c r="C14" s="35"/>
      <c r="D14" s="50"/>
      <c r="E14" s="15"/>
      <c r="F14" s="22" t="s">
        <v>20</v>
      </c>
      <c r="G14" s="23" t="s">
        <v>82</v>
      </c>
      <c r="H14" s="83">
        <f>H13*H12/1000</f>
        <v>0.0002845</v>
      </c>
      <c r="J14" s="104">
        <f>H14/$H$35</f>
        <v>0.2693943299700867</v>
      </c>
      <c r="K14" s="30"/>
    </row>
    <row r="15" spans="1:11" ht="16.5" thickBot="1">
      <c r="A15" s="42"/>
      <c r="B15" s="33"/>
      <c r="C15" s="35"/>
      <c r="D15" s="50"/>
      <c r="E15" s="15"/>
      <c r="F15" s="22"/>
      <c r="G15" s="23"/>
      <c r="H15" s="24"/>
      <c r="J15" s="53"/>
      <c r="K15" s="30"/>
    </row>
    <row r="16" spans="1:11" ht="16.5" thickBot="1">
      <c r="A16" s="36" t="s">
        <v>107</v>
      </c>
      <c r="B16" s="41" t="s">
        <v>26</v>
      </c>
      <c r="C16" s="59">
        <v>550</v>
      </c>
      <c r="D16" s="58"/>
      <c r="E16" s="17" t="s">
        <v>55</v>
      </c>
      <c r="F16" s="22"/>
      <c r="G16" s="23"/>
      <c r="H16" s="24"/>
      <c r="J16" s="53"/>
      <c r="K16" s="30"/>
    </row>
    <row r="17" spans="1:11" ht="19.5" thickBot="1">
      <c r="A17" s="36" t="s">
        <v>108</v>
      </c>
      <c r="B17" s="41" t="s">
        <v>26</v>
      </c>
      <c r="C17" s="59">
        <v>120</v>
      </c>
      <c r="D17" s="51"/>
      <c r="E17" s="20" t="s">
        <v>11</v>
      </c>
      <c r="F17" s="20" t="s">
        <v>13</v>
      </c>
      <c r="G17" s="21" t="s">
        <v>84</v>
      </c>
      <c r="H17" s="65">
        <v>0.0029</v>
      </c>
      <c r="J17" s="53"/>
      <c r="K17" s="30"/>
    </row>
    <row r="18" spans="1:11" ht="16.5" thickBot="1">
      <c r="A18" s="5"/>
      <c r="B18" s="5"/>
      <c r="C18" s="5"/>
      <c r="D18" s="51"/>
      <c r="E18" s="20"/>
      <c r="F18" s="20" t="s">
        <v>95</v>
      </c>
      <c r="G18" s="21"/>
      <c r="H18" s="81">
        <v>1.05</v>
      </c>
      <c r="J18" s="56"/>
      <c r="K18" s="30"/>
    </row>
    <row r="19" spans="1:11" ht="18.75">
      <c r="A19" s="36" t="s">
        <v>109</v>
      </c>
      <c r="B19" s="41" t="s">
        <v>26</v>
      </c>
      <c r="C19" s="33"/>
      <c r="D19" s="51"/>
      <c r="E19" s="19" t="s">
        <v>56</v>
      </c>
      <c r="F19" s="20" t="s">
        <v>58</v>
      </c>
      <c r="G19" s="21" t="s">
        <v>86</v>
      </c>
      <c r="H19" s="95">
        <f>H18*17/46</f>
        <v>0.3880434782608696</v>
      </c>
      <c r="J19" s="53"/>
      <c r="K19" s="30"/>
    </row>
    <row r="20" spans="1:11" ht="19.5" thickBot="1">
      <c r="A20" s="37" t="s">
        <v>34</v>
      </c>
      <c r="B20" s="39" t="s">
        <v>32</v>
      </c>
      <c r="C20" s="68">
        <v>4</v>
      </c>
      <c r="D20" s="51"/>
      <c r="E20" s="20" t="s">
        <v>57</v>
      </c>
      <c r="F20" s="20" t="s">
        <v>96</v>
      </c>
      <c r="G20" s="21" t="s">
        <v>85</v>
      </c>
      <c r="H20" s="70">
        <v>400</v>
      </c>
      <c r="J20" s="56"/>
      <c r="K20" s="30"/>
    </row>
    <row r="21" spans="1:11" ht="19.5" thickBot="1">
      <c r="A21" s="37" t="s">
        <v>31</v>
      </c>
      <c r="B21" s="41" t="s">
        <v>33</v>
      </c>
      <c r="C21" s="60">
        <v>10</v>
      </c>
      <c r="D21" s="58"/>
      <c r="E21" s="19" t="s">
        <v>12</v>
      </c>
      <c r="F21" s="20" t="s">
        <v>14</v>
      </c>
      <c r="G21" s="21" t="s">
        <v>47</v>
      </c>
      <c r="H21" s="65">
        <v>50</v>
      </c>
      <c r="J21" s="56"/>
      <c r="K21" s="30"/>
    </row>
    <row r="22" spans="1:11" ht="15.75">
      <c r="A22" s="32" t="s">
        <v>20</v>
      </c>
      <c r="B22" s="41" t="s">
        <v>26</v>
      </c>
      <c r="C22" s="97">
        <f>C16*((1+C20/100)^C21)/(((1+C20/100)^C21)-1)*C20/100</f>
        <v>67.81001938157502</v>
      </c>
      <c r="D22" s="51"/>
      <c r="E22" s="19"/>
      <c r="F22" s="25" t="s">
        <v>20</v>
      </c>
      <c r="G22" s="23" t="s">
        <v>82</v>
      </c>
      <c r="H22" s="83">
        <f>H17*H19*H20*H21/100/1000</f>
        <v>0.00022506521739130433</v>
      </c>
      <c r="J22" s="104">
        <f>H22/$H$35</f>
        <v>0.21311526691986762</v>
      </c>
      <c r="K22" s="30"/>
    </row>
    <row r="23" spans="1:11" ht="15.75">
      <c r="A23" s="5" t="s">
        <v>20</v>
      </c>
      <c r="B23" s="41" t="s">
        <v>82</v>
      </c>
      <c r="C23" s="89">
        <f>C22/170/365</f>
        <v>0.0010928286765765514</v>
      </c>
      <c r="D23" s="101">
        <f>C23/C36</f>
        <v>0.39856772896067194</v>
      </c>
      <c r="E23" s="19"/>
      <c r="F23" s="25"/>
      <c r="G23" s="23"/>
      <c r="H23" s="24"/>
      <c r="J23" s="53"/>
      <c r="K23" s="30"/>
    </row>
    <row r="24" spans="1:11" ht="16.5" thickBot="1">
      <c r="A24" s="5"/>
      <c r="B24" s="5"/>
      <c r="C24" s="5"/>
      <c r="D24" s="102"/>
      <c r="E24" s="17" t="s">
        <v>59</v>
      </c>
      <c r="F24" s="22"/>
      <c r="G24" s="23"/>
      <c r="H24" s="24"/>
      <c r="J24" s="53"/>
      <c r="K24" s="30"/>
    </row>
    <row r="25" spans="1:11" ht="19.5" thickBot="1">
      <c r="A25" s="36" t="s">
        <v>110</v>
      </c>
      <c r="B25" s="41" t="s">
        <v>26</v>
      </c>
      <c r="C25" s="33"/>
      <c r="D25" s="102"/>
      <c r="E25" s="19" t="s">
        <v>60</v>
      </c>
      <c r="F25" s="20" t="s">
        <v>111</v>
      </c>
      <c r="G25" s="21" t="s">
        <v>88</v>
      </c>
      <c r="H25" s="96">
        <f>8.2/170/365</f>
        <v>0.00013215149073327962</v>
      </c>
      <c r="J25" s="53"/>
      <c r="K25" s="30"/>
    </row>
    <row r="26" spans="1:11" ht="19.5" thickBot="1">
      <c r="A26" s="37" t="s">
        <v>34</v>
      </c>
      <c r="B26" s="39" t="s">
        <v>32</v>
      </c>
      <c r="C26" s="68">
        <v>4</v>
      </c>
      <c r="E26" s="20" t="s">
        <v>61</v>
      </c>
      <c r="F26" s="20" t="s">
        <v>63</v>
      </c>
      <c r="G26" s="20" t="s">
        <v>65</v>
      </c>
      <c r="H26" s="70">
        <v>15</v>
      </c>
      <c r="J26" s="56"/>
      <c r="K26" s="30"/>
    </row>
    <row r="27" spans="1:11" ht="19.5" thickBot="1">
      <c r="A27" s="37" t="s">
        <v>31</v>
      </c>
      <c r="B27" s="41" t="s">
        <v>33</v>
      </c>
      <c r="C27" s="60">
        <v>10</v>
      </c>
      <c r="D27" s="102"/>
      <c r="E27" s="20" t="s">
        <v>62</v>
      </c>
      <c r="F27" s="20" t="s">
        <v>64</v>
      </c>
      <c r="G27" s="21" t="s">
        <v>115</v>
      </c>
      <c r="H27" s="72">
        <f>5*C13</f>
        <v>43800</v>
      </c>
      <c r="J27" s="53"/>
      <c r="K27" s="30"/>
    </row>
    <row r="28" spans="1:11" ht="15.75">
      <c r="A28" s="32" t="s">
        <v>20</v>
      </c>
      <c r="B28" s="41" t="s">
        <v>26</v>
      </c>
      <c r="C28" s="97">
        <f>C17*(1+0.04)^10/((1+0.04)^10-1)*0.04</f>
        <v>14.794913319616366</v>
      </c>
      <c r="E28" s="17"/>
      <c r="F28" s="22" t="s">
        <v>20</v>
      </c>
      <c r="G28" s="23" t="s">
        <v>82</v>
      </c>
      <c r="H28" s="83">
        <f>H25*H26/H27*C13</f>
        <v>0.0003964544721998389</v>
      </c>
      <c r="I28" s="92"/>
      <c r="J28" s="104">
        <f>H28/$H$35</f>
        <v>0.37540452338108954</v>
      </c>
      <c r="K28" s="30"/>
    </row>
    <row r="29" spans="1:11" ht="15.75">
      <c r="A29" s="5" t="s">
        <v>20</v>
      </c>
      <c r="B29" s="41" t="s">
        <v>82</v>
      </c>
      <c r="C29" s="89">
        <f>C28/170/365</f>
        <v>0.00023843534761670214</v>
      </c>
      <c r="D29" s="101">
        <f>C29/C36</f>
        <v>0.08696023177323751</v>
      </c>
      <c r="E29" s="15"/>
      <c r="F29" s="15"/>
      <c r="G29" s="15"/>
      <c r="H29" s="18"/>
      <c r="J29" s="52"/>
      <c r="K29" s="30"/>
    </row>
    <row r="30" spans="1:11" ht="13.5" thickBot="1">
      <c r="A30" s="5"/>
      <c r="B30" s="5"/>
      <c r="C30" s="5"/>
      <c r="D30" s="51"/>
      <c r="E30" s="17" t="s">
        <v>22</v>
      </c>
      <c r="F30" s="15"/>
      <c r="G30" s="15"/>
      <c r="H30" s="18"/>
      <c r="I30" s="92"/>
      <c r="J30" s="52"/>
      <c r="K30" s="30"/>
    </row>
    <row r="31" spans="1:11" ht="19.5" thickBot="1">
      <c r="A31" s="36" t="s">
        <v>27</v>
      </c>
      <c r="B31" s="12" t="s">
        <v>113</v>
      </c>
      <c r="C31" s="33">
        <v>4</v>
      </c>
      <c r="D31" s="51"/>
      <c r="E31" s="19" t="s">
        <v>5</v>
      </c>
      <c r="F31" s="20" t="s">
        <v>7</v>
      </c>
      <c r="G31" s="21" t="s">
        <v>87</v>
      </c>
      <c r="H31" s="82">
        <f>4.03*0.000001</f>
        <v>4.03E-06</v>
      </c>
      <c r="I31">
        <v>0.25</v>
      </c>
      <c r="J31" s="52"/>
      <c r="K31" s="30"/>
    </row>
    <row r="32" spans="1:11" ht="18.75">
      <c r="A32" s="32" t="s">
        <v>20</v>
      </c>
      <c r="B32" s="41" t="s">
        <v>82</v>
      </c>
      <c r="C32" s="85">
        <f>C31*C16/100/170/365</f>
        <v>0.00035455278001611605</v>
      </c>
      <c r="D32" s="101">
        <f>C32/C36</f>
        <v>0.12930965242456946</v>
      </c>
      <c r="E32" s="20" t="s">
        <v>6</v>
      </c>
      <c r="F32" s="20" t="s">
        <v>8</v>
      </c>
      <c r="G32" s="20" t="s">
        <v>9</v>
      </c>
      <c r="H32" s="69">
        <v>37.234</v>
      </c>
      <c r="J32" s="52"/>
      <c r="K32" s="30"/>
    </row>
    <row r="33" spans="1:11" ht="15.75">
      <c r="A33" s="32"/>
      <c r="B33" s="41"/>
      <c r="C33" s="33"/>
      <c r="D33" s="51"/>
      <c r="E33" s="20"/>
      <c r="F33" s="25" t="s">
        <v>20</v>
      </c>
      <c r="G33" s="23" t="s">
        <v>82</v>
      </c>
      <c r="H33" s="83">
        <f>H31*H32</f>
        <v>0.00015005302</v>
      </c>
      <c r="J33" s="104">
        <f>H33/$H$35</f>
        <v>0.14208587972895617</v>
      </c>
      <c r="K33" s="30"/>
    </row>
    <row r="34" spans="1:11" ht="15.75">
      <c r="A34" s="36" t="s">
        <v>28</v>
      </c>
      <c r="B34" s="41" t="s">
        <v>82</v>
      </c>
      <c r="C34" s="85">
        <f>H35</f>
        <v>0.0010560727095911431</v>
      </c>
      <c r="D34" s="103">
        <f>C34/C36</f>
        <v>0.385162386841521</v>
      </c>
      <c r="E34" s="15"/>
      <c r="F34" s="15"/>
      <c r="G34" s="15"/>
      <c r="H34" s="18"/>
      <c r="J34" s="53"/>
      <c r="K34" s="30"/>
    </row>
    <row r="35" spans="1:11" ht="15.75">
      <c r="A35" s="32"/>
      <c r="B35" s="41"/>
      <c r="C35" s="33"/>
      <c r="E35" s="17" t="s">
        <v>24</v>
      </c>
      <c r="F35" s="17"/>
      <c r="G35" s="23" t="s">
        <v>82</v>
      </c>
      <c r="H35" s="84">
        <f>H14+H22+H28+H33</f>
        <v>0.0010560727095911431</v>
      </c>
      <c r="J35" s="104">
        <f>H35/$H$35</f>
        <v>1</v>
      </c>
      <c r="K35" s="30"/>
    </row>
    <row r="36" spans="1:11" ht="15.75">
      <c r="A36" s="36" t="s">
        <v>35</v>
      </c>
      <c r="B36" s="41" t="s">
        <v>82</v>
      </c>
      <c r="C36" s="85">
        <f>C34+(C32)+(C22+C28)/C11/365</f>
        <v>0.002741889513800513</v>
      </c>
      <c r="D36" s="30"/>
      <c r="I36" s="30"/>
      <c r="J36" s="54"/>
      <c r="K36" s="30"/>
    </row>
    <row r="37" spans="1:11" ht="12.75">
      <c r="A37" s="32"/>
      <c r="B37" s="33"/>
      <c r="C37" s="33"/>
      <c r="D37" s="30"/>
      <c r="I37" s="30"/>
      <c r="J37" s="30"/>
      <c r="K37" s="30"/>
    </row>
    <row r="38" spans="1:11" ht="12.75">
      <c r="A38" s="32"/>
      <c r="B38" s="33"/>
      <c r="C38" s="33"/>
      <c r="D38" s="30"/>
      <c r="E38" s="30"/>
      <c r="F38" s="30"/>
      <c r="G38" s="30"/>
      <c r="H38" s="30"/>
      <c r="I38" s="30"/>
      <c r="J38" s="30"/>
      <c r="K38" s="30"/>
    </row>
    <row r="39" spans="1:11" ht="15.75">
      <c r="A39" s="36" t="s">
        <v>51</v>
      </c>
      <c r="B39" s="41" t="s">
        <v>53</v>
      </c>
      <c r="C39" s="33"/>
      <c r="D39" s="30"/>
      <c r="E39" s="30"/>
      <c r="F39" s="30"/>
      <c r="G39" s="30"/>
      <c r="H39" s="94"/>
      <c r="I39" s="30"/>
      <c r="J39" s="30"/>
      <c r="K39" s="30"/>
    </row>
    <row r="40" spans="1:11" ht="12.75">
      <c r="A40" s="32" t="s">
        <v>44</v>
      </c>
      <c r="B40" s="33" t="s">
        <v>52</v>
      </c>
      <c r="C40" s="64">
        <f>0.0029</f>
        <v>0.0029</v>
      </c>
      <c r="D40" s="30"/>
      <c r="E40" s="30"/>
      <c r="F40" s="30"/>
      <c r="G40" s="30"/>
      <c r="H40" s="30"/>
      <c r="I40" s="30"/>
      <c r="J40" s="30"/>
      <c r="K40" s="30"/>
    </row>
    <row r="41" spans="1:11" ht="12.75">
      <c r="A41" s="37" t="s">
        <v>45</v>
      </c>
      <c r="B41" s="33" t="s">
        <v>47</v>
      </c>
      <c r="C41" s="64">
        <v>50</v>
      </c>
      <c r="D41" s="30"/>
      <c r="E41" s="30"/>
      <c r="F41" s="30"/>
      <c r="G41" s="30"/>
      <c r="H41" s="30"/>
      <c r="K41" s="30"/>
    </row>
    <row r="42" spans="1:11" ht="15.75">
      <c r="A42" s="37" t="s">
        <v>20</v>
      </c>
      <c r="B42" s="41" t="s">
        <v>53</v>
      </c>
      <c r="C42" s="86">
        <f>C36/C40/C41*100</f>
        <v>1.8909582853796643</v>
      </c>
      <c r="D42" s="30"/>
      <c r="I42" s="30"/>
      <c r="J42" s="30"/>
      <c r="K42" s="30"/>
    </row>
    <row r="43" spans="1:11" ht="12.75">
      <c r="A43" s="29"/>
      <c r="B43" s="30"/>
      <c r="C43" s="30"/>
      <c r="D43" s="30"/>
      <c r="J43" s="30"/>
      <c r="K43" s="30"/>
    </row>
    <row r="44" spans="1:10" ht="12.75">
      <c r="A44" s="29"/>
      <c r="B44" s="30"/>
      <c r="C44" s="30"/>
      <c r="D44" s="30"/>
      <c r="J44" s="30"/>
    </row>
    <row r="45" spans="4:12" ht="13.5" thickBot="1">
      <c r="D45" s="30"/>
      <c r="I45" s="49"/>
      <c r="K45" s="30"/>
      <c r="L45" s="30"/>
    </row>
    <row r="46" spans="1:12" ht="20.25">
      <c r="A46" s="26"/>
      <c r="B46" s="47" t="s">
        <v>79</v>
      </c>
      <c r="C46" s="27"/>
      <c r="D46" s="55"/>
      <c r="E46" s="30"/>
      <c r="F46" s="49" t="s">
        <v>49</v>
      </c>
      <c r="G46" s="49"/>
      <c r="H46" s="49"/>
      <c r="I46" s="30"/>
      <c r="J46" s="49"/>
      <c r="K46" s="30"/>
      <c r="L46" s="30"/>
    </row>
    <row r="47" spans="1:12" ht="12.75">
      <c r="A47" s="29"/>
      <c r="B47" s="30"/>
      <c r="C47" s="30"/>
      <c r="D47" s="50"/>
      <c r="E47" s="30"/>
      <c r="F47" s="30"/>
      <c r="G47" s="30"/>
      <c r="H47" s="30"/>
      <c r="I47" s="30"/>
      <c r="J47" s="30"/>
      <c r="K47" s="30"/>
      <c r="L47" s="30"/>
    </row>
    <row r="48" spans="1:12" ht="12.75">
      <c r="A48" s="29"/>
      <c r="B48" s="30"/>
      <c r="C48" s="30"/>
      <c r="D48" s="50"/>
      <c r="E48" s="30"/>
      <c r="F48" s="30"/>
      <c r="G48" s="30"/>
      <c r="H48" s="30"/>
      <c r="J48" s="30"/>
      <c r="K48" s="30"/>
      <c r="L48" s="30"/>
    </row>
    <row r="49" spans="1:12" ht="12.75">
      <c r="A49" s="29"/>
      <c r="B49" s="30"/>
      <c r="C49" s="30"/>
      <c r="D49" s="56"/>
      <c r="E49" s="15"/>
      <c r="F49" s="15"/>
      <c r="G49" s="15"/>
      <c r="H49" s="16" t="s">
        <v>18</v>
      </c>
      <c r="J49" s="50"/>
      <c r="K49" s="30"/>
      <c r="L49" s="30"/>
    </row>
    <row r="50" spans="1:12" ht="12.75">
      <c r="A50" s="32"/>
      <c r="B50" s="33"/>
      <c r="C50" s="34" t="s">
        <v>78</v>
      </c>
      <c r="D50" s="57"/>
      <c r="E50" s="16" t="s">
        <v>16</v>
      </c>
      <c r="F50" s="16" t="s">
        <v>17</v>
      </c>
      <c r="G50" s="16" t="s">
        <v>15</v>
      </c>
      <c r="H50" s="15"/>
      <c r="J50" s="51"/>
      <c r="K50" s="30"/>
      <c r="L50" s="30"/>
    </row>
    <row r="51" spans="1:12" ht="12.75">
      <c r="A51" s="32"/>
      <c r="B51" s="33"/>
      <c r="C51" s="35"/>
      <c r="D51" s="57"/>
      <c r="E51" s="15"/>
      <c r="F51" s="15"/>
      <c r="G51" s="15"/>
      <c r="H51" s="15"/>
      <c r="J51" s="51"/>
      <c r="K51" s="30"/>
      <c r="L51" s="30"/>
    </row>
    <row r="52" spans="1:12" ht="13.5" thickBot="1">
      <c r="A52" s="36" t="s">
        <v>37</v>
      </c>
      <c r="B52" s="33"/>
      <c r="C52" s="35"/>
      <c r="D52" s="57"/>
      <c r="E52" s="17" t="s">
        <v>21</v>
      </c>
      <c r="F52" s="15"/>
      <c r="G52" s="15"/>
      <c r="H52" s="18"/>
      <c r="J52" s="52"/>
      <c r="K52" s="30"/>
      <c r="L52" s="30"/>
    </row>
    <row r="53" spans="1:12" ht="19.5" thickBot="1">
      <c r="A53" s="37"/>
      <c r="B53" s="33"/>
      <c r="C53" s="38"/>
      <c r="D53" s="50"/>
      <c r="E53" s="19" t="s">
        <v>0</v>
      </c>
      <c r="F53" s="20" t="s">
        <v>1</v>
      </c>
      <c r="G53" s="20" t="s">
        <v>112</v>
      </c>
      <c r="H53" s="100">
        <f>5</f>
        <v>5</v>
      </c>
      <c r="J53" s="52"/>
      <c r="K53" s="30"/>
      <c r="L53" s="30"/>
    </row>
    <row r="54" spans="1:12" ht="18.75">
      <c r="A54" s="32" t="s">
        <v>36</v>
      </c>
      <c r="B54" s="39" t="s">
        <v>81</v>
      </c>
      <c r="C54" s="63">
        <v>170</v>
      </c>
      <c r="D54" s="50"/>
      <c r="E54" s="20" t="s">
        <v>2</v>
      </c>
      <c r="F54" s="20" t="s">
        <v>3</v>
      </c>
      <c r="G54" s="21" t="s">
        <v>4</v>
      </c>
      <c r="H54" s="69">
        <v>0.0569</v>
      </c>
      <c r="J54" s="52"/>
      <c r="K54" s="30"/>
      <c r="L54" s="30"/>
    </row>
    <row r="55" spans="1:12" ht="15.75">
      <c r="A55" s="40" t="s">
        <v>30</v>
      </c>
      <c r="B55" s="41" t="s">
        <v>33</v>
      </c>
      <c r="C55" s="63">
        <v>8</v>
      </c>
      <c r="D55" s="58"/>
      <c r="E55" s="15"/>
      <c r="F55" s="22" t="s">
        <v>20</v>
      </c>
      <c r="G55" s="23" t="s">
        <v>82</v>
      </c>
      <c r="H55" s="83">
        <f>H54*H53/1000</f>
        <v>0.0002845</v>
      </c>
      <c r="J55" s="104">
        <f>H55/$H$71</f>
        <v>0.2640134785693475</v>
      </c>
      <c r="K55" s="30"/>
      <c r="L55" s="30"/>
    </row>
    <row r="56" spans="1:12" ht="15.75">
      <c r="A56" s="40" t="s">
        <v>38</v>
      </c>
      <c r="B56" s="39" t="s">
        <v>10</v>
      </c>
      <c r="C56" s="63">
        <v>8760</v>
      </c>
      <c r="D56" s="51"/>
      <c r="E56" s="15"/>
      <c r="F56" s="22"/>
      <c r="G56" s="23"/>
      <c r="H56" s="24"/>
      <c r="J56" s="53"/>
      <c r="K56" s="30"/>
      <c r="L56" s="30"/>
    </row>
    <row r="57" spans="1:12" ht="15.75">
      <c r="A57" s="42"/>
      <c r="B57" s="33"/>
      <c r="C57" s="35"/>
      <c r="D57" s="51"/>
      <c r="E57" s="15"/>
      <c r="F57" s="22"/>
      <c r="G57" s="23"/>
      <c r="H57" s="24"/>
      <c r="J57" s="52"/>
      <c r="K57" s="30"/>
      <c r="L57" s="30"/>
    </row>
    <row r="58" spans="1:12" ht="16.5" thickBot="1">
      <c r="A58" s="42"/>
      <c r="B58" s="33"/>
      <c r="C58" s="35"/>
      <c r="D58" s="51"/>
      <c r="E58" s="17" t="s">
        <v>55</v>
      </c>
      <c r="F58" s="22"/>
      <c r="G58" s="23"/>
      <c r="H58" s="24"/>
      <c r="J58" s="52"/>
      <c r="K58" s="30"/>
      <c r="L58" s="30"/>
    </row>
    <row r="59" spans="1:12" ht="19.5" thickBot="1">
      <c r="A59" s="36" t="s">
        <v>25</v>
      </c>
      <c r="B59" s="41" t="s">
        <v>26</v>
      </c>
      <c r="C59" s="59">
        <v>300</v>
      </c>
      <c r="D59" s="51"/>
      <c r="E59" s="20" t="s">
        <v>11</v>
      </c>
      <c r="F59" s="20" t="s">
        <v>13</v>
      </c>
      <c r="G59" s="21" t="s">
        <v>84</v>
      </c>
      <c r="H59" s="65">
        <v>0.0029</v>
      </c>
      <c r="J59" s="52"/>
      <c r="K59" s="30"/>
      <c r="L59" s="30"/>
    </row>
    <row r="60" spans="1:12" ht="16.5" thickBot="1">
      <c r="A60" s="32"/>
      <c r="B60" s="41"/>
      <c r="C60" s="33"/>
      <c r="D60" s="58"/>
      <c r="E60" s="20"/>
      <c r="F60" s="20" t="s">
        <v>95</v>
      </c>
      <c r="G60" s="21"/>
      <c r="H60" s="81">
        <v>3</v>
      </c>
      <c r="J60" s="53"/>
      <c r="K60" s="30"/>
      <c r="L60" s="30"/>
    </row>
    <row r="61" spans="1:12" ht="18.75">
      <c r="A61" s="36" t="s">
        <v>29</v>
      </c>
      <c r="B61" s="41" t="s">
        <v>26</v>
      </c>
      <c r="C61" s="33"/>
      <c r="D61" s="51"/>
      <c r="E61" s="19" t="s">
        <v>56</v>
      </c>
      <c r="F61" s="20" t="s">
        <v>58</v>
      </c>
      <c r="G61" s="21" t="s">
        <v>86</v>
      </c>
      <c r="H61" s="95">
        <f>H60*17/46</f>
        <v>1.108695652173913</v>
      </c>
      <c r="J61" s="53"/>
      <c r="K61" s="30"/>
      <c r="L61" s="30"/>
    </row>
    <row r="62" spans="1:12" ht="19.5" thickBot="1">
      <c r="A62" s="37" t="s">
        <v>34</v>
      </c>
      <c r="B62" s="39" t="s">
        <v>32</v>
      </c>
      <c r="C62" s="68">
        <v>4</v>
      </c>
      <c r="D62" s="51"/>
      <c r="E62" s="20" t="s">
        <v>57</v>
      </c>
      <c r="F62" s="20" t="s">
        <v>96</v>
      </c>
      <c r="G62" s="21" t="s">
        <v>85</v>
      </c>
      <c r="H62" s="70">
        <v>400</v>
      </c>
      <c r="J62" s="53"/>
      <c r="K62" s="30"/>
      <c r="L62" s="30"/>
    </row>
    <row r="63" spans="1:12" ht="19.5" thickBot="1">
      <c r="A63" s="37" t="s">
        <v>31</v>
      </c>
      <c r="B63" s="41" t="s">
        <v>33</v>
      </c>
      <c r="C63" s="60">
        <v>10</v>
      </c>
      <c r="D63" s="51"/>
      <c r="E63" s="19" t="s">
        <v>12</v>
      </c>
      <c r="F63" s="20" t="s">
        <v>14</v>
      </c>
      <c r="G63" s="21" t="s">
        <v>47</v>
      </c>
      <c r="H63" s="65">
        <v>50</v>
      </c>
      <c r="J63" s="56"/>
      <c r="K63" s="30"/>
      <c r="L63" s="30"/>
    </row>
    <row r="64" spans="1:12" ht="15.75">
      <c r="A64" s="32" t="s">
        <v>20</v>
      </c>
      <c r="B64" s="41" t="s">
        <v>26</v>
      </c>
      <c r="C64" s="97">
        <f>C59*((1+C62/100)^C63)/(((1+C62/100)^C63)-1)*C62/100</f>
        <v>36.98728329904092</v>
      </c>
      <c r="D64" s="58"/>
      <c r="E64" s="19"/>
      <c r="F64" s="25" t="s">
        <v>20</v>
      </c>
      <c r="G64" s="23" t="s">
        <v>82</v>
      </c>
      <c r="H64" s="83">
        <f>H59*H61*H62*H63/100/1000</f>
        <v>0.0006430434782608695</v>
      </c>
      <c r="J64" s="104">
        <f>H64/$H$71</f>
        <v>0.5967386487415984</v>
      </c>
      <c r="K64" s="30"/>
      <c r="L64" s="30"/>
    </row>
    <row r="65" spans="1:12" ht="15.75">
      <c r="A65" s="5" t="s">
        <v>20</v>
      </c>
      <c r="B65" s="41" t="s">
        <v>82</v>
      </c>
      <c r="C65" s="89">
        <f>C64/170/365</f>
        <v>0.0005960883690417553</v>
      </c>
      <c r="D65" s="101">
        <f>C65/C72</f>
        <v>0.3192628239609121</v>
      </c>
      <c r="E65" s="15"/>
      <c r="F65" s="22"/>
      <c r="G65" s="23"/>
      <c r="H65" s="24"/>
      <c r="J65" s="56"/>
      <c r="K65" s="30"/>
      <c r="L65" s="30"/>
    </row>
    <row r="66" spans="1:12" ht="16.5" thickBot="1">
      <c r="A66" s="32"/>
      <c r="B66" s="41"/>
      <c r="C66" s="33"/>
      <c r="D66" s="102"/>
      <c r="E66" s="17" t="s">
        <v>22</v>
      </c>
      <c r="F66" s="15"/>
      <c r="G66" s="15"/>
      <c r="H66" s="18"/>
      <c r="J66" s="56"/>
      <c r="K66" s="30"/>
      <c r="L66" s="30"/>
    </row>
    <row r="67" spans="1:12" ht="19.5" thickBot="1">
      <c r="A67" s="36" t="s">
        <v>27</v>
      </c>
      <c r="B67" s="12" t="s">
        <v>113</v>
      </c>
      <c r="C67" s="33">
        <v>4</v>
      </c>
      <c r="D67" s="102"/>
      <c r="E67" s="19" t="s">
        <v>5</v>
      </c>
      <c r="F67" s="20" t="s">
        <v>7</v>
      </c>
      <c r="G67" s="21" t="s">
        <v>87</v>
      </c>
      <c r="H67" s="82">
        <f>4.03*0.000001</f>
        <v>4.03E-06</v>
      </c>
      <c r="I67">
        <v>0.25</v>
      </c>
      <c r="J67" s="53"/>
      <c r="K67" s="30"/>
      <c r="L67" s="30"/>
    </row>
    <row r="68" spans="1:12" ht="18.75">
      <c r="A68" s="32" t="s">
        <v>20</v>
      </c>
      <c r="B68" s="41" t="s">
        <v>82</v>
      </c>
      <c r="C68" s="85">
        <f>C67*C59/100/365/170</f>
        <v>0.000193392425463336</v>
      </c>
      <c r="D68" s="101">
        <f>C68/C72</f>
        <v>0.10358029965478127</v>
      </c>
      <c r="E68" s="20" t="s">
        <v>6</v>
      </c>
      <c r="F68" s="20" t="s">
        <v>8</v>
      </c>
      <c r="G68" s="20" t="s">
        <v>9</v>
      </c>
      <c r="H68" s="69">
        <v>37.234</v>
      </c>
      <c r="J68" s="53"/>
      <c r="K68" s="30"/>
      <c r="L68" s="30"/>
    </row>
    <row r="69" spans="1:12" ht="15.75">
      <c r="A69" s="32"/>
      <c r="B69" s="41"/>
      <c r="C69" s="33"/>
      <c r="D69" s="102"/>
      <c r="E69" s="20"/>
      <c r="F69" s="25" t="s">
        <v>20</v>
      </c>
      <c r="G69" s="23" t="s">
        <v>82</v>
      </c>
      <c r="H69" s="83">
        <f>H67*H68</f>
        <v>0.00015005302</v>
      </c>
      <c r="J69" s="104">
        <f>H69/$H$71</f>
        <v>0.13924787268905406</v>
      </c>
      <c r="K69" s="30"/>
      <c r="L69" s="30"/>
    </row>
    <row r="70" spans="1:12" ht="15.75">
      <c r="A70" s="36" t="s">
        <v>28</v>
      </c>
      <c r="B70" s="41" t="s">
        <v>82</v>
      </c>
      <c r="C70" s="85">
        <f>H71</f>
        <v>0.0010775964982608695</v>
      </c>
      <c r="D70" s="101">
        <f>C70/C72</f>
        <v>0.5771568763843067</v>
      </c>
      <c r="E70" s="15"/>
      <c r="F70" s="15"/>
      <c r="G70" s="15"/>
      <c r="H70" s="18"/>
      <c r="J70" s="52"/>
      <c r="K70" s="30"/>
      <c r="L70" s="30"/>
    </row>
    <row r="71" spans="1:12" ht="15.75">
      <c r="A71" s="32"/>
      <c r="B71" s="41"/>
      <c r="C71" s="33"/>
      <c r="D71" s="51"/>
      <c r="E71" s="17" t="s">
        <v>24</v>
      </c>
      <c r="F71" s="17"/>
      <c r="G71" s="23" t="s">
        <v>82</v>
      </c>
      <c r="H71" s="84">
        <f>H55+H64+H69</f>
        <v>0.0010775964982608695</v>
      </c>
      <c r="J71" s="104">
        <f>H71/$H$71</f>
        <v>1</v>
      </c>
      <c r="K71" s="30"/>
      <c r="L71" s="30"/>
    </row>
    <row r="72" spans="1:12" ht="15.75">
      <c r="A72" s="36" t="s">
        <v>35</v>
      </c>
      <c r="B72" s="41" t="s">
        <v>82</v>
      </c>
      <c r="C72" s="85">
        <f>C70+C68+(C64)/C54/365</f>
        <v>0.0018670772927659608</v>
      </c>
      <c r="D72" s="51"/>
      <c r="E72" s="30"/>
      <c r="F72" s="30"/>
      <c r="G72" s="30"/>
      <c r="H72" s="30"/>
      <c r="J72" s="52"/>
      <c r="K72" s="30"/>
      <c r="L72" s="30"/>
    </row>
    <row r="73" spans="1:12" ht="12.75">
      <c r="A73" s="32"/>
      <c r="B73" s="33"/>
      <c r="C73" s="33"/>
      <c r="D73" s="51"/>
      <c r="E73" s="30"/>
      <c r="F73" s="30"/>
      <c r="G73" s="30"/>
      <c r="H73" s="30"/>
      <c r="J73" s="53"/>
      <c r="K73" s="30"/>
      <c r="L73" s="30"/>
    </row>
    <row r="74" spans="1:12" ht="12.75">
      <c r="A74" s="32"/>
      <c r="B74" s="33"/>
      <c r="C74" s="33"/>
      <c r="D74" s="58"/>
      <c r="J74" s="52"/>
      <c r="K74" s="30"/>
      <c r="L74" s="30"/>
    </row>
    <row r="75" spans="1:12" ht="15.75">
      <c r="A75" s="36" t="s">
        <v>51</v>
      </c>
      <c r="B75" s="41" t="s">
        <v>53</v>
      </c>
      <c r="C75" s="33"/>
      <c r="D75" s="30"/>
      <c r="I75" s="30"/>
      <c r="J75" s="54"/>
      <c r="K75" s="30"/>
      <c r="L75" s="30"/>
    </row>
    <row r="76" spans="1:12" ht="12.75">
      <c r="A76" s="32" t="s">
        <v>44</v>
      </c>
      <c r="B76" s="33" t="s">
        <v>52</v>
      </c>
      <c r="C76" s="64">
        <f>0.0029</f>
        <v>0.0029</v>
      </c>
      <c r="D76" s="30"/>
      <c r="J76" s="30"/>
      <c r="K76" s="30"/>
      <c r="L76" s="30"/>
    </row>
    <row r="77" spans="1:4" ht="12.75">
      <c r="A77" s="37" t="s">
        <v>45</v>
      </c>
      <c r="B77" s="33" t="s">
        <v>47</v>
      </c>
      <c r="C77" s="64">
        <v>50</v>
      </c>
      <c r="D77" s="30"/>
    </row>
    <row r="78" spans="1:3" ht="15.75">
      <c r="A78" s="37" t="s">
        <v>20</v>
      </c>
      <c r="B78" s="41" t="s">
        <v>53</v>
      </c>
      <c r="C78" s="86">
        <f>C72/C76/C77*100</f>
        <v>1.2876395122523867</v>
      </c>
    </row>
    <row r="79" spans="1:3" ht="12.75">
      <c r="A79" s="29"/>
      <c r="B79" s="30"/>
      <c r="C79" s="30"/>
    </row>
    <row r="80" spans="1:3" ht="15">
      <c r="A80" s="99" t="s">
        <v>93</v>
      </c>
      <c r="B80" s="30"/>
      <c r="C80" s="30"/>
    </row>
    <row r="81" spans="1:5" s="30" customFormat="1" ht="15">
      <c r="A81" s="79"/>
      <c r="D81"/>
      <c r="E81"/>
    </row>
    <row r="82" spans="1:5" s="30" customFormat="1" ht="14.25">
      <c r="A82" s="74"/>
      <c r="B82" s="75" t="s">
        <v>89</v>
      </c>
      <c r="D82"/>
      <c r="E82"/>
    </row>
    <row r="83" spans="1:5" s="30" customFormat="1" ht="15" thickBot="1">
      <c r="A83" s="76"/>
      <c r="B83" s="75" t="s">
        <v>91</v>
      </c>
      <c r="D83"/>
      <c r="E83"/>
    </row>
    <row r="84" spans="1:5" s="30" customFormat="1" ht="15" thickBot="1">
      <c r="A84" s="73"/>
      <c r="B84" s="75" t="s">
        <v>92</v>
      </c>
      <c r="D84"/>
      <c r="E84"/>
    </row>
    <row r="85" spans="1:5" s="30" customFormat="1" ht="15" thickBot="1">
      <c r="A85" s="77">
        <v>0</v>
      </c>
      <c r="B85" s="78" t="s">
        <v>90</v>
      </c>
      <c r="C85" s="43"/>
      <c r="D85"/>
      <c r="E85"/>
    </row>
    <row r="86" s="30" customFormat="1" ht="12.75"/>
    <row r="87" s="30" customFormat="1" ht="12.75"/>
  </sheetData>
  <mergeCells count="1">
    <mergeCell ref="A3:C3"/>
  </mergeCells>
  <printOptions/>
  <pageMargins left="0.75" right="0.75" top="1" bottom="1" header="0.4921259845" footer="0.4921259845"/>
  <pageSetup horizontalDpi="600" verticalDpi="600" orientation="landscape" paperSize="9" scale="53" r:id="rId1"/>
  <rowBreaks count="1" manualBreakCount="1">
    <brk id="4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="75" zoomScaleNormal="75" workbookViewId="0" topLeftCell="A1">
      <selection activeCell="D6" sqref="D6"/>
    </sheetView>
  </sheetViews>
  <sheetFormatPr defaultColWidth="11.421875" defaultRowHeight="12.75"/>
  <cols>
    <col min="1" max="1" width="28.8515625" style="0" bestFit="1" customWidth="1"/>
    <col min="2" max="2" width="28.00390625" style="0" customWidth="1"/>
    <col min="3" max="3" width="25.8515625" style="0" bestFit="1" customWidth="1"/>
    <col min="4" max="4" width="12.00390625" style="0" customWidth="1"/>
    <col min="5" max="5" width="20.421875" style="0" bestFit="1" customWidth="1"/>
    <col min="6" max="7" width="28.7109375" style="0" bestFit="1" customWidth="1"/>
    <col min="8" max="8" width="20.57421875" style="0" bestFit="1" customWidth="1"/>
    <col min="9" max="9" width="5.140625" style="0" bestFit="1" customWidth="1"/>
    <col min="10" max="10" width="21.140625" style="0" bestFit="1" customWidth="1"/>
  </cols>
  <sheetData>
    <row r="1" ht="20.25">
      <c r="B1" s="45" t="s">
        <v>50</v>
      </c>
    </row>
    <row r="5" spans="1:4" ht="12.75">
      <c r="A5" s="5"/>
      <c r="B5" s="5"/>
      <c r="C5" s="6" t="s">
        <v>78</v>
      </c>
      <c r="D5" s="55"/>
    </row>
    <row r="6" spans="1:4" ht="12.75">
      <c r="A6" s="5"/>
      <c r="B6" s="5"/>
      <c r="C6" s="7"/>
      <c r="D6" s="50"/>
    </row>
    <row r="7" spans="1:4" ht="12.75">
      <c r="A7" s="8" t="s">
        <v>37</v>
      </c>
      <c r="B7" s="5"/>
      <c r="C7" s="7"/>
      <c r="D7" s="50"/>
    </row>
    <row r="8" spans="1:8" ht="12.75">
      <c r="A8" s="9"/>
      <c r="B8" s="5"/>
      <c r="C8" s="10"/>
      <c r="D8" s="56"/>
      <c r="F8" s="110" t="s">
        <v>49</v>
      </c>
      <c r="G8" s="110"/>
      <c r="H8" s="110"/>
    </row>
    <row r="9" spans="1:4" ht="15.75">
      <c r="A9" s="93" t="s">
        <v>36</v>
      </c>
      <c r="B9" s="39" t="s">
        <v>81</v>
      </c>
      <c r="C9" s="66">
        <v>170</v>
      </c>
      <c r="D9" s="57"/>
    </row>
    <row r="10" spans="1:4" ht="15.75">
      <c r="A10" s="11" t="s">
        <v>30</v>
      </c>
      <c r="B10" s="12" t="s">
        <v>33</v>
      </c>
      <c r="C10" s="66">
        <v>8</v>
      </c>
      <c r="D10" s="57"/>
    </row>
    <row r="11" spans="1:10" ht="15.75">
      <c r="A11" s="11" t="s">
        <v>38</v>
      </c>
      <c r="B11" s="11" t="s">
        <v>10</v>
      </c>
      <c r="C11" s="66">
        <v>8760</v>
      </c>
      <c r="D11" s="57"/>
      <c r="E11" s="15"/>
      <c r="F11" s="15"/>
      <c r="G11" s="15"/>
      <c r="H11" s="16" t="s">
        <v>80</v>
      </c>
      <c r="J11" s="50"/>
    </row>
    <row r="12" spans="1:10" ht="15.75">
      <c r="A12" s="13"/>
      <c r="B12" s="5"/>
      <c r="C12" s="7"/>
      <c r="D12" s="50"/>
      <c r="E12" s="16" t="s">
        <v>16</v>
      </c>
      <c r="F12" s="16" t="s">
        <v>17</v>
      </c>
      <c r="G12" s="16" t="s">
        <v>15</v>
      </c>
      <c r="H12" s="15"/>
      <c r="J12" s="51"/>
    </row>
    <row r="13" spans="1:10" ht="16.5" thickBot="1">
      <c r="A13" s="13"/>
      <c r="B13" s="5"/>
      <c r="C13" s="7"/>
      <c r="D13" s="50"/>
      <c r="E13" s="15"/>
      <c r="F13" s="15"/>
      <c r="G13" s="15"/>
      <c r="H13" s="15"/>
      <c r="J13" s="51"/>
    </row>
    <row r="14" spans="1:10" ht="16.5" thickBot="1">
      <c r="A14" s="8" t="s">
        <v>25</v>
      </c>
      <c r="B14" s="12" t="s">
        <v>26</v>
      </c>
      <c r="C14" s="59">
        <v>330</v>
      </c>
      <c r="D14" s="58"/>
      <c r="E14" s="17" t="s">
        <v>22</v>
      </c>
      <c r="F14" s="15"/>
      <c r="G14" s="15"/>
      <c r="H14" s="18"/>
      <c r="J14" s="52"/>
    </row>
    <row r="15" spans="1:10" ht="32.25" thickBot="1">
      <c r="A15" s="5"/>
      <c r="B15" s="12"/>
      <c r="C15" s="5"/>
      <c r="D15" s="51"/>
      <c r="E15" s="19" t="s">
        <v>5</v>
      </c>
      <c r="F15" s="20" t="s">
        <v>7</v>
      </c>
      <c r="G15" s="21" t="s">
        <v>87</v>
      </c>
      <c r="H15" s="82">
        <f>4.03*0.000001</f>
        <v>4.03E-06</v>
      </c>
      <c r="I15">
        <v>0.25</v>
      </c>
      <c r="J15" s="52"/>
    </row>
    <row r="16" spans="1:10" ht="18.75">
      <c r="A16" s="8" t="s">
        <v>29</v>
      </c>
      <c r="B16" s="12" t="s">
        <v>26</v>
      </c>
      <c r="C16" s="5"/>
      <c r="D16" s="51"/>
      <c r="E16" s="20" t="s">
        <v>6</v>
      </c>
      <c r="F16" s="20" t="s">
        <v>8</v>
      </c>
      <c r="G16" s="20" t="s">
        <v>9</v>
      </c>
      <c r="H16" s="69">
        <v>37.234</v>
      </c>
      <c r="J16" s="52"/>
    </row>
    <row r="17" spans="1:10" ht="16.5" thickBot="1">
      <c r="A17" s="9" t="s">
        <v>34</v>
      </c>
      <c r="B17" s="11" t="s">
        <v>32</v>
      </c>
      <c r="C17" s="71">
        <v>4</v>
      </c>
      <c r="D17" s="51"/>
      <c r="E17" s="20"/>
      <c r="F17" s="25" t="s">
        <v>20</v>
      </c>
      <c r="G17" s="23" t="s">
        <v>82</v>
      </c>
      <c r="H17" s="83">
        <f>H15*H16</f>
        <v>0.00015005302</v>
      </c>
      <c r="J17" s="53"/>
    </row>
    <row r="18" spans="1:10" ht="16.5" thickBot="1">
      <c r="A18" s="9" t="s">
        <v>31</v>
      </c>
      <c r="B18" s="12" t="s">
        <v>33</v>
      </c>
      <c r="C18" s="60">
        <v>8</v>
      </c>
      <c r="D18" s="51"/>
      <c r="E18" s="15"/>
      <c r="F18" s="15"/>
      <c r="G18" s="15"/>
      <c r="H18" s="18"/>
      <c r="J18" s="52"/>
    </row>
    <row r="19" spans="1:10" ht="15.75">
      <c r="A19" s="5" t="s">
        <v>20</v>
      </c>
      <c r="B19" s="12" t="s">
        <v>26</v>
      </c>
      <c r="C19" s="98">
        <f>C14*((1+C17/100)^C18)/(((1+C17/100)^C18)-1)*C17/100</f>
        <v>49.014184575415214</v>
      </c>
      <c r="D19" s="58"/>
      <c r="E19" s="17" t="s">
        <v>24</v>
      </c>
      <c r="F19" s="17"/>
      <c r="G19" s="23" t="s">
        <v>82</v>
      </c>
      <c r="H19" s="84">
        <f>H17</f>
        <v>0.00015005302</v>
      </c>
      <c r="J19" s="54"/>
    </row>
    <row r="20" spans="1:8" ht="15.75">
      <c r="A20" s="5" t="s">
        <v>20</v>
      </c>
      <c r="B20" s="41" t="s">
        <v>82</v>
      </c>
      <c r="C20" s="89">
        <f>C19/170/365</f>
        <v>0.0007899143364289317</v>
      </c>
      <c r="D20" s="101">
        <f>C20/C27</f>
        <v>0.6852737095128916</v>
      </c>
      <c r="H20" s="92"/>
    </row>
    <row r="21" spans="1:4" ht="15.75">
      <c r="A21" s="5"/>
      <c r="B21" s="12"/>
      <c r="C21" s="5"/>
      <c r="D21" s="102"/>
    </row>
    <row r="22" spans="1:4" ht="15.75">
      <c r="A22" s="8" t="s">
        <v>27</v>
      </c>
      <c r="B22" s="12" t="s">
        <v>113</v>
      </c>
      <c r="C22" s="33">
        <v>4</v>
      </c>
      <c r="D22" s="102"/>
    </row>
    <row r="23" spans="1:4" ht="15.75">
      <c r="A23" s="5" t="s">
        <v>20</v>
      </c>
      <c r="B23" s="41" t="s">
        <v>82</v>
      </c>
      <c r="C23" s="89">
        <f>C22*C14/100/170/365</f>
        <v>0.0002127316680096696</v>
      </c>
      <c r="D23" s="101">
        <f>C23/C27</f>
        <v>0.18455092222644695</v>
      </c>
    </row>
    <row r="24" spans="1:4" ht="15.75">
      <c r="A24" s="5"/>
      <c r="B24" s="12"/>
      <c r="C24" s="5"/>
      <c r="D24" s="102"/>
    </row>
    <row r="25" spans="1:4" ht="15.75">
      <c r="A25" s="8" t="s">
        <v>28</v>
      </c>
      <c r="B25" s="41" t="s">
        <v>82</v>
      </c>
      <c r="C25" s="89">
        <f>H19</f>
        <v>0.00015005302</v>
      </c>
      <c r="D25" s="101">
        <f>C25/C27</f>
        <v>0.13017536826066134</v>
      </c>
    </row>
    <row r="26" spans="1:4" ht="15.75">
      <c r="A26" s="5"/>
      <c r="B26" s="12"/>
      <c r="C26" s="5"/>
      <c r="D26" s="30"/>
    </row>
    <row r="27" spans="1:4" ht="15.75">
      <c r="A27" s="8" t="s">
        <v>35</v>
      </c>
      <c r="B27" s="41" t="s">
        <v>82</v>
      </c>
      <c r="C27" s="89">
        <f>C25+(C23)+(C19)/C9/365</f>
        <v>0.0011526990244386014</v>
      </c>
      <c r="D27" s="30"/>
    </row>
    <row r="28" spans="1:4" ht="12.75">
      <c r="A28" s="5"/>
      <c r="B28" s="5"/>
      <c r="C28" s="5"/>
      <c r="D28" s="51"/>
    </row>
    <row r="29" spans="1:4" ht="15.75">
      <c r="A29" s="8" t="s">
        <v>51</v>
      </c>
      <c r="B29" s="12" t="s">
        <v>53</v>
      </c>
      <c r="C29" s="5"/>
      <c r="D29" s="51"/>
    </row>
    <row r="30" spans="1:4" ht="14.25">
      <c r="A30" s="93" t="s">
        <v>44</v>
      </c>
      <c r="B30" s="93" t="s">
        <v>52</v>
      </c>
      <c r="C30" s="67">
        <f>0.00812</f>
        <v>0.00812</v>
      </c>
      <c r="D30" s="51"/>
    </row>
    <row r="31" spans="1:4" ht="14.25">
      <c r="A31" s="93" t="s">
        <v>45</v>
      </c>
      <c r="B31" s="5" t="s">
        <v>47</v>
      </c>
      <c r="C31" s="67">
        <v>65</v>
      </c>
      <c r="D31" s="51"/>
    </row>
    <row r="32" spans="1:4" ht="15.75">
      <c r="A32" s="93" t="s">
        <v>20</v>
      </c>
      <c r="B32" s="12" t="s">
        <v>53</v>
      </c>
      <c r="C32" s="88">
        <f>C27/C30/C31*100</f>
        <v>0.2183969352858282</v>
      </c>
      <c r="D32" s="58"/>
    </row>
    <row r="34" ht="13.5" thickBot="1"/>
    <row r="35" spans="1:4" ht="15">
      <c r="A35" s="80" t="s">
        <v>93</v>
      </c>
      <c r="B35" s="27"/>
      <c r="C35" s="27"/>
      <c r="D35" s="28"/>
    </row>
    <row r="36" spans="1:4" ht="15">
      <c r="A36" s="79"/>
      <c r="B36" s="30"/>
      <c r="C36" s="30"/>
      <c r="D36" s="31"/>
    </row>
    <row r="37" spans="1:4" ht="14.25">
      <c r="A37" s="74"/>
      <c r="B37" s="75" t="s">
        <v>89</v>
      </c>
      <c r="C37" s="30"/>
      <c r="D37" s="31"/>
    </row>
    <row r="38" spans="1:4" ht="15" thickBot="1">
      <c r="A38" s="76"/>
      <c r="B38" s="75" t="s">
        <v>91</v>
      </c>
      <c r="C38" s="30"/>
      <c r="D38" s="31"/>
    </row>
    <row r="39" spans="1:4" ht="15" thickBot="1">
      <c r="A39" s="73"/>
      <c r="B39" s="75" t="s">
        <v>92</v>
      </c>
      <c r="C39" s="30"/>
      <c r="D39" s="31"/>
    </row>
    <row r="40" spans="1:4" ht="15" thickBot="1">
      <c r="A40" s="77">
        <v>0</v>
      </c>
      <c r="B40" s="78" t="s">
        <v>90</v>
      </c>
      <c r="C40" s="43"/>
      <c r="D40" s="44"/>
    </row>
  </sheetData>
  <mergeCells count="1">
    <mergeCell ref="F8:H8"/>
  </mergeCells>
  <printOptions/>
  <pageMargins left="0.75" right="0.75" top="1" bottom="1" header="0.4921259845" footer="0.4921259845"/>
  <pageSetup horizontalDpi="600" verticalDpi="600"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workbookViewId="0" topLeftCell="B1">
      <selection activeCell="C22" sqref="C22"/>
    </sheetView>
  </sheetViews>
  <sheetFormatPr defaultColWidth="11.421875" defaultRowHeight="12.75"/>
  <cols>
    <col min="1" max="1" width="28.8515625" style="0" bestFit="1" customWidth="1"/>
    <col min="2" max="2" width="27.8515625" style="0" customWidth="1"/>
    <col min="3" max="3" width="21.28125" style="0" bestFit="1" customWidth="1"/>
    <col min="4" max="4" width="10.28125" style="0" customWidth="1"/>
    <col min="5" max="5" width="22.7109375" style="0" customWidth="1"/>
    <col min="6" max="6" width="40.00390625" style="0" bestFit="1" customWidth="1"/>
    <col min="7" max="7" width="32.28125" style="0" bestFit="1" customWidth="1"/>
    <col min="8" max="8" width="21.00390625" style="0" bestFit="1" customWidth="1"/>
    <col min="9" max="9" width="8.7109375" style="0" bestFit="1" customWidth="1"/>
    <col min="10" max="10" width="21.140625" style="0" bestFit="1" customWidth="1"/>
  </cols>
  <sheetData>
    <row r="1" ht="20.25">
      <c r="B1" s="45" t="s">
        <v>71</v>
      </c>
    </row>
    <row r="5" spans="1:3" ht="12.75">
      <c r="A5" s="5"/>
      <c r="B5" s="5"/>
      <c r="C5" s="6" t="s">
        <v>19</v>
      </c>
    </row>
    <row r="6" spans="1:3" ht="12.75">
      <c r="A6" s="5"/>
      <c r="B6" s="5"/>
      <c r="C6" s="7"/>
    </row>
    <row r="7" spans="1:3" ht="12.75">
      <c r="A7" s="8" t="s">
        <v>37</v>
      </c>
      <c r="B7" s="5"/>
      <c r="C7" s="7"/>
    </row>
    <row r="8" spans="1:7" ht="12.75">
      <c r="A8" s="9" t="s">
        <v>39</v>
      </c>
      <c r="B8" s="5"/>
      <c r="C8" s="10" t="s">
        <v>41</v>
      </c>
      <c r="E8" s="110" t="s">
        <v>49</v>
      </c>
      <c r="F8" s="110"/>
      <c r="G8" s="110"/>
    </row>
    <row r="9" spans="1:3" ht="15.75">
      <c r="A9" s="5" t="s">
        <v>36</v>
      </c>
      <c r="B9" s="39" t="s">
        <v>81</v>
      </c>
      <c r="C9" s="66">
        <v>170</v>
      </c>
    </row>
    <row r="10" spans="1:3" ht="15.75">
      <c r="A10" s="11" t="s">
        <v>30</v>
      </c>
      <c r="B10" s="12" t="s">
        <v>33</v>
      </c>
      <c r="C10" s="66">
        <v>8</v>
      </c>
    </row>
    <row r="11" spans="1:8" ht="15.75">
      <c r="A11" s="11" t="s">
        <v>38</v>
      </c>
      <c r="B11" s="11" t="s">
        <v>10</v>
      </c>
      <c r="C11" s="66">
        <v>8760</v>
      </c>
      <c r="E11" s="15"/>
      <c r="F11" s="15"/>
      <c r="G11" s="15"/>
      <c r="H11" s="16" t="s">
        <v>19</v>
      </c>
    </row>
    <row r="12" spans="1:8" ht="15.75">
      <c r="A12" s="13"/>
      <c r="B12" s="5"/>
      <c r="C12" s="7"/>
      <c r="E12" s="16" t="s">
        <v>16</v>
      </c>
      <c r="F12" s="16" t="s">
        <v>17</v>
      </c>
      <c r="G12" s="16" t="s">
        <v>15</v>
      </c>
      <c r="H12" s="15"/>
    </row>
    <row r="13" spans="1:8" ht="16.5" thickBot="1">
      <c r="A13" s="13"/>
      <c r="B13" s="5"/>
      <c r="C13" s="7"/>
      <c r="E13" s="15"/>
      <c r="F13" s="15"/>
      <c r="G13" s="15"/>
      <c r="H13" s="15"/>
    </row>
    <row r="14" spans="1:8" ht="16.5" thickBot="1">
      <c r="A14" s="8" t="s">
        <v>25</v>
      </c>
      <c r="B14" s="12" t="s">
        <v>26</v>
      </c>
      <c r="C14" s="59">
        <v>300</v>
      </c>
      <c r="E14" s="17" t="s">
        <v>22</v>
      </c>
      <c r="F14" s="15"/>
      <c r="G14" s="15"/>
      <c r="H14" s="18"/>
    </row>
    <row r="15" spans="1:8" ht="32.25" thickBot="1">
      <c r="A15" s="5"/>
      <c r="B15" s="12"/>
      <c r="C15" s="5"/>
      <c r="E15" s="19" t="s">
        <v>5</v>
      </c>
      <c r="F15" s="20" t="s">
        <v>7</v>
      </c>
      <c r="G15" s="21" t="s">
        <v>87</v>
      </c>
      <c r="H15" s="82">
        <f>3.02*0.000001</f>
        <v>3.02E-06</v>
      </c>
    </row>
    <row r="16" spans="1:8" ht="18.75">
      <c r="A16" s="8" t="s">
        <v>29</v>
      </c>
      <c r="B16" s="12" t="s">
        <v>26</v>
      </c>
      <c r="C16" s="5"/>
      <c r="E16" s="20" t="s">
        <v>6</v>
      </c>
      <c r="F16" s="20" t="s">
        <v>8</v>
      </c>
      <c r="G16" s="20" t="s">
        <v>9</v>
      </c>
      <c r="H16" s="69">
        <v>37.234</v>
      </c>
    </row>
    <row r="17" spans="1:9" ht="32.25" thickBot="1">
      <c r="A17" s="9" t="s">
        <v>34</v>
      </c>
      <c r="B17" s="11" t="s">
        <v>32</v>
      </c>
      <c r="C17" s="71">
        <v>4</v>
      </c>
      <c r="E17" s="20"/>
      <c r="F17" s="25" t="s">
        <v>20</v>
      </c>
      <c r="G17" s="23" t="s">
        <v>106</v>
      </c>
      <c r="H17" s="83">
        <f>H15*H16</f>
        <v>0.00011244668000000001</v>
      </c>
      <c r="I17" s="105">
        <f>H17/$H$30</f>
        <v>0.48323285059331317</v>
      </c>
    </row>
    <row r="18" spans="1:8" ht="16.5" thickBot="1">
      <c r="A18" s="9" t="s">
        <v>31</v>
      </c>
      <c r="B18" s="12" t="s">
        <v>33</v>
      </c>
      <c r="C18" s="60">
        <v>10</v>
      </c>
      <c r="E18" s="15"/>
      <c r="F18" s="15"/>
      <c r="G18" s="15"/>
      <c r="H18" s="18"/>
    </row>
    <row r="19" spans="1:8" ht="15.75">
      <c r="A19" s="5" t="s">
        <v>20</v>
      </c>
      <c r="B19" s="12" t="s">
        <v>26</v>
      </c>
      <c r="C19" s="98">
        <f>C14*((1+C17/100)^C18)/(((1+C17/100)^C18)-1)*C17/100</f>
        <v>36.98728329904092</v>
      </c>
      <c r="E19" s="17" t="s">
        <v>67</v>
      </c>
      <c r="F19" s="25" t="s">
        <v>20</v>
      </c>
      <c r="G19" s="23" t="s">
        <v>82</v>
      </c>
      <c r="H19" s="24">
        <v>0</v>
      </c>
    </row>
    <row r="20" spans="1:8" ht="15.75">
      <c r="A20" s="5" t="s">
        <v>20</v>
      </c>
      <c r="B20" s="41" t="s">
        <v>82</v>
      </c>
      <c r="C20" s="89">
        <f>C19/170/365</f>
        <v>0.0005960883690417553</v>
      </c>
      <c r="D20" s="101">
        <f>C20/C27</f>
        <v>0.5831554538318935</v>
      </c>
      <c r="E20" s="15"/>
      <c r="F20" s="62"/>
      <c r="G20" s="62"/>
      <c r="H20" s="62"/>
    </row>
    <row r="21" spans="1:8" ht="15.75">
      <c r="A21" s="5"/>
      <c r="B21" s="12"/>
      <c r="C21" s="5"/>
      <c r="D21" s="102"/>
      <c r="E21" s="15"/>
      <c r="F21" s="15"/>
      <c r="G21" s="15"/>
      <c r="H21" s="18"/>
    </row>
    <row r="22" spans="1:8" ht="31.5">
      <c r="A22" s="8" t="s">
        <v>27</v>
      </c>
      <c r="B22" s="12" t="s">
        <v>113</v>
      </c>
      <c r="C22" s="33">
        <v>4</v>
      </c>
      <c r="D22" s="102"/>
      <c r="E22" s="17" t="s">
        <v>97</v>
      </c>
      <c r="F22" s="22"/>
      <c r="G22" s="23"/>
      <c r="H22" s="24"/>
    </row>
    <row r="23" spans="1:8" ht="19.5" thickBot="1">
      <c r="A23" s="5" t="s">
        <v>20</v>
      </c>
      <c r="B23" s="41" t="s">
        <v>82</v>
      </c>
      <c r="C23" s="89">
        <f>C22*C14/100/170/365</f>
        <v>0.00019339242546333602</v>
      </c>
      <c r="D23" s="101">
        <f>C23/C27</f>
        <v>0.18919652436771903</v>
      </c>
      <c r="E23" s="20" t="s">
        <v>11</v>
      </c>
      <c r="F23" s="20" t="s">
        <v>13</v>
      </c>
      <c r="G23" s="21" t="s">
        <v>84</v>
      </c>
      <c r="H23" s="65">
        <v>0.0052</v>
      </c>
    </row>
    <row r="24" spans="1:8" ht="16.5" thickBot="1">
      <c r="A24" s="5"/>
      <c r="B24" s="12"/>
      <c r="C24" s="5"/>
      <c r="D24" s="102"/>
      <c r="E24" s="20"/>
      <c r="F24" s="20" t="s">
        <v>94</v>
      </c>
      <c r="G24" s="21"/>
      <c r="H24" s="81">
        <v>1</v>
      </c>
    </row>
    <row r="25" spans="1:8" ht="18.75">
      <c r="A25" s="8" t="s">
        <v>28</v>
      </c>
      <c r="B25" s="41" t="s">
        <v>82</v>
      </c>
      <c r="C25" s="89">
        <f>H30</f>
        <v>0.00023269668</v>
      </c>
      <c r="D25" s="101">
        <f>C25/C27</f>
        <v>0.2276480218003874</v>
      </c>
      <c r="E25" s="2" t="s">
        <v>56</v>
      </c>
      <c r="F25" s="3" t="s">
        <v>72</v>
      </c>
      <c r="G25" s="21" t="s">
        <v>99</v>
      </c>
      <c r="H25" s="95">
        <f>H24*74/64</f>
        <v>1.15625</v>
      </c>
    </row>
    <row r="26" spans="1:8" ht="18.75">
      <c r="A26" s="5"/>
      <c r="B26" s="12"/>
      <c r="C26" s="5"/>
      <c r="D26" s="30"/>
      <c r="E26" s="3" t="s">
        <v>57</v>
      </c>
      <c r="F26" s="3" t="s">
        <v>114</v>
      </c>
      <c r="G26" s="4" t="s">
        <v>98</v>
      </c>
      <c r="H26" s="70">
        <v>100</v>
      </c>
    </row>
    <row r="27" spans="1:8" ht="18.75">
      <c r="A27" s="8" t="s">
        <v>35</v>
      </c>
      <c r="B27" s="41" t="s">
        <v>82</v>
      </c>
      <c r="C27" s="89">
        <f>C25+C23+(C19)/C9/365</f>
        <v>0.0010221774745050915</v>
      </c>
      <c r="D27" s="30"/>
      <c r="E27" s="19" t="s">
        <v>12</v>
      </c>
      <c r="F27" s="20" t="s">
        <v>14</v>
      </c>
      <c r="G27" s="21" t="s">
        <v>47</v>
      </c>
      <c r="H27" s="65">
        <v>20</v>
      </c>
    </row>
    <row r="28" spans="1:9" ht="15.75">
      <c r="A28" s="5"/>
      <c r="B28" s="5"/>
      <c r="C28" s="5"/>
      <c r="E28" s="19"/>
      <c r="F28" s="25" t="s">
        <v>20</v>
      </c>
      <c r="G28" s="23" t="s">
        <v>82</v>
      </c>
      <c r="H28" s="83">
        <f>H23*H25*H26*H27/100/1000</f>
        <v>0.00012024999999999998</v>
      </c>
      <c r="I28" s="105">
        <f>H28/$H$30</f>
        <v>0.5167671494066868</v>
      </c>
    </row>
    <row r="29" spans="1:8" ht="15.75">
      <c r="A29" s="8" t="s">
        <v>68</v>
      </c>
      <c r="B29" s="12" t="s">
        <v>69</v>
      </c>
      <c r="C29" s="5"/>
      <c r="E29" s="19"/>
      <c r="F29" s="25"/>
      <c r="G29" s="23"/>
      <c r="H29" s="24"/>
    </row>
    <row r="30" spans="1:9" ht="15.75">
      <c r="A30" s="93" t="s">
        <v>44</v>
      </c>
      <c r="B30" s="5" t="s">
        <v>70</v>
      </c>
      <c r="C30" s="67">
        <v>0.0052</v>
      </c>
      <c r="E30" s="17" t="s">
        <v>24</v>
      </c>
      <c r="F30" s="17"/>
      <c r="G30" s="23" t="s">
        <v>82</v>
      </c>
      <c r="H30" s="84">
        <f>H17+H19+H28</f>
        <v>0.00023269668</v>
      </c>
      <c r="I30" s="105">
        <f>H30/$H$30</f>
        <v>1</v>
      </c>
    </row>
    <row r="31" spans="1:3" ht="14.25">
      <c r="A31" s="93" t="s">
        <v>45</v>
      </c>
      <c r="B31" s="5" t="s">
        <v>47</v>
      </c>
      <c r="C31" s="67">
        <v>20</v>
      </c>
    </row>
    <row r="32" spans="1:3" ht="15.75">
      <c r="A32" s="93" t="s">
        <v>20</v>
      </c>
      <c r="B32" s="12" t="s">
        <v>69</v>
      </c>
      <c r="C32" s="88">
        <f>C27/C30/C31*100</f>
        <v>0.9828629562548957</v>
      </c>
    </row>
    <row r="33" ht="13.5" thickBot="1"/>
    <row r="34" spans="1:4" ht="15">
      <c r="A34" s="80" t="s">
        <v>93</v>
      </c>
      <c r="B34" s="27"/>
      <c r="C34" s="27"/>
      <c r="D34" s="28"/>
    </row>
    <row r="35" spans="1:4" ht="15">
      <c r="A35" s="79"/>
      <c r="B35" s="30"/>
      <c r="C35" s="30"/>
      <c r="D35" s="31"/>
    </row>
    <row r="36" spans="1:4" ht="14.25">
      <c r="A36" s="74"/>
      <c r="B36" s="75" t="s">
        <v>89</v>
      </c>
      <c r="C36" s="30"/>
      <c r="D36" s="31"/>
    </row>
    <row r="37" spans="1:4" ht="15" thickBot="1">
      <c r="A37" s="76"/>
      <c r="B37" s="75" t="s">
        <v>91</v>
      </c>
      <c r="C37" s="30"/>
      <c r="D37" s="31"/>
    </row>
    <row r="38" spans="1:4" ht="15" thickBot="1">
      <c r="A38" s="73"/>
      <c r="B38" s="75" t="s">
        <v>92</v>
      </c>
      <c r="C38" s="30"/>
      <c r="D38" s="31"/>
    </row>
    <row r="39" spans="1:4" ht="15" thickBot="1">
      <c r="A39" s="77">
        <v>0</v>
      </c>
      <c r="B39" s="78" t="s">
        <v>90</v>
      </c>
      <c r="C39" s="43"/>
      <c r="D39" s="44"/>
    </row>
  </sheetData>
  <mergeCells count="1">
    <mergeCell ref="E8:G8"/>
  </mergeCells>
  <printOptions/>
  <pageMargins left="0.75" right="0.75" top="1" bottom="1" header="0.4921259845" footer="0.4921259845"/>
  <pageSetup horizontalDpi="600" verticalDpi="600" orientation="landscape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75" zoomScaleNormal="75" workbookViewId="0" topLeftCell="B1">
      <selection activeCell="C22" sqref="C22"/>
    </sheetView>
  </sheetViews>
  <sheetFormatPr defaultColWidth="11.421875" defaultRowHeight="12.75"/>
  <cols>
    <col min="1" max="1" width="28.8515625" style="0" bestFit="1" customWidth="1"/>
    <col min="2" max="2" width="28.421875" style="0" customWidth="1"/>
    <col min="3" max="3" width="21.140625" style="0" bestFit="1" customWidth="1"/>
    <col min="4" max="4" width="10.421875" style="0" customWidth="1"/>
    <col min="5" max="5" width="20.421875" style="0" bestFit="1" customWidth="1"/>
    <col min="6" max="6" width="40.00390625" style="0" bestFit="1" customWidth="1"/>
    <col min="7" max="7" width="32.28125" style="0" bestFit="1" customWidth="1"/>
    <col min="8" max="8" width="20.8515625" style="0" bestFit="1" customWidth="1"/>
    <col min="9" max="9" width="7.28125" style="0" bestFit="1" customWidth="1"/>
    <col min="10" max="10" width="21.140625" style="0" bestFit="1" customWidth="1"/>
  </cols>
  <sheetData>
    <row r="1" ht="20.25">
      <c r="B1" s="45" t="s">
        <v>66</v>
      </c>
    </row>
    <row r="5" spans="1:3" ht="12.75">
      <c r="A5" s="5"/>
      <c r="B5" s="5"/>
      <c r="C5" s="6" t="s">
        <v>18</v>
      </c>
    </row>
    <row r="6" spans="1:3" ht="12.75">
      <c r="A6" s="5"/>
      <c r="B6" s="5"/>
      <c r="C6" s="7"/>
    </row>
    <row r="7" spans="1:3" ht="12.75">
      <c r="A7" s="8" t="s">
        <v>37</v>
      </c>
      <c r="B7" s="5"/>
      <c r="C7" s="7"/>
    </row>
    <row r="8" spans="1:7" ht="12.75">
      <c r="A8" s="9" t="s">
        <v>39</v>
      </c>
      <c r="B8" s="5"/>
      <c r="C8" s="10" t="s">
        <v>40</v>
      </c>
      <c r="E8" s="110" t="s">
        <v>49</v>
      </c>
      <c r="F8" s="110"/>
      <c r="G8" s="110"/>
    </row>
    <row r="9" spans="1:3" ht="15.75">
      <c r="A9" s="5" t="s">
        <v>36</v>
      </c>
      <c r="B9" s="39" t="s">
        <v>81</v>
      </c>
      <c r="C9" s="66">
        <v>170</v>
      </c>
    </row>
    <row r="10" spans="1:3" ht="15.75">
      <c r="A10" s="46" t="s">
        <v>30</v>
      </c>
      <c r="B10" s="12" t="s">
        <v>33</v>
      </c>
      <c r="C10" s="66">
        <v>8</v>
      </c>
    </row>
    <row r="11" spans="1:8" ht="15.75">
      <c r="A11" s="46" t="s">
        <v>38</v>
      </c>
      <c r="B11" s="11" t="s">
        <v>10</v>
      </c>
      <c r="C11" s="66">
        <v>8760</v>
      </c>
      <c r="E11" s="15"/>
      <c r="F11" s="15"/>
      <c r="G11" s="15"/>
      <c r="H11" s="16" t="s">
        <v>18</v>
      </c>
    </row>
    <row r="12" spans="1:8" ht="15.75">
      <c r="A12" s="13"/>
      <c r="B12" s="5"/>
      <c r="C12" s="7"/>
      <c r="E12" s="16" t="s">
        <v>16</v>
      </c>
      <c r="F12" s="16" t="s">
        <v>17</v>
      </c>
      <c r="G12" s="16" t="s">
        <v>15</v>
      </c>
      <c r="H12" s="15"/>
    </row>
    <row r="13" spans="1:8" ht="16.5" thickBot="1">
      <c r="A13" s="13"/>
      <c r="B13" s="5"/>
      <c r="C13" s="7"/>
      <c r="E13" s="15"/>
      <c r="F13" s="15"/>
      <c r="G13" s="15"/>
      <c r="H13" s="15"/>
    </row>
    <row r="14" spans="1:8" ht="16.5" thickBot="1">
      <c r="A14" s="8" t="s">
        <v>25</v>
      </c>
      <c r="B14" s="12" t="s">
        <v>26</v>
      </c>
      <c r="C14" s="59">
        <v>300</v>
      </c>
      <c r="E14" s="17" t="s">
        <v>22</v>
      </c>
      <c r="F14" s="15"/>
      <c r="G14" s="15"/>
      <c r="H14" s="18"/>
    </row>
    <row r="15" spans="1:8" ht="32.25" thickBot="1">
      <c r="A15" s="5"/>
      <c r="B15" s="12"/>
      <c r="C15" s="5"/>
      <c r="E15" s="19" t="s">
        <v>5</v>
      </c>
      <c r="F15" s="20" t="s">
        <v>7</v>
      </c>
      <c r="G15" s="21" t="s">
        <v>87</v>
      </c>
      <c r="H15" s="82">
        <f>3.02*0.000001</f>
        <v>3.02E-06</v>
      </c>
    </row>
    <row r="16" spans="1:8" ht="18.75">
      <c r="A16" s="8" t="s">
        <v>29</v>
      </c>
      <c r="B16" s="12" t="s">
        <v>26</v>
      </c>
      <c r="C16" s="5"/>
      <c r="E16" s="20" t="s">
        <v>6</v>
      </c>
      <c r="F16" s="20" t="s">
        <v>8</v>
      </c>
      <c r="G16" s="20" t="s">
        <v>9</v>
      </c>
      <c r="H16" s="69">
        <v>37.234</v>
      </c>
    </row>
    <row r="17" spans="1:9" ht="16.5" thickBot="1">
      <c r="A17" s="9" t="s">
        <v>34</v>
      </c>
      <c r="B17" s="11" t="s">
        <v>32</v>
      </c>
      <c r="C17" s="71">
        <v>4</v>
      </c>
      <c r="E17" s="20"/>
      <c r="F17" s="25" t="s">
        <v>20</v>
      </c>
      <c r="G17" s="23" t="s">
        <v>82</v>
      </c>
      <c r="H17" s="83">
        <f>H15*H16</f>
        <v>0.00011244668000000001</v>
      </c>
      <c r="I17" s="105">
        <f>H17/$H$29</f>
        <v>0.27146088386652245</v>
      </c>
    </row>
    <row r="18" spans="1:8" ht="16.5" thickBot="1">
      <c r="A18" s="9" t="s">
        <v>31</v>
      </c>
      <c r="B18" s="12" t="s">
        <v>33</v>
      </c>
      <c r="C18" s="60">
        <v>10</v>
      </c>
      <c r="E18" s="15"/>
      <c r="F18" s="15"/>
      <c r="G18" s="15"/>
      <c r="H18" s="18"/>
    </row>
    <row r="19" spans="1:8" ht="15.75">
      <c r="A19" s="5" t="s">
        <v>20</v>
      </c>
      <c r="B19" s="12" t="s">
        <v>26</v>
      </c>
      <c r="C19" s="98">
        <f>C14*((1+C17/100)^C18)/(((1+C17/100)^C18)-1)*C17/100</f>
        <v>36.98728329904092</v>
      </c>
      <c r="E19" s="17" t="s">
        <v>67</v>
      </c>
      <c r="F19" s="25" t="s">
        <v>20</v>
      </c>
      <c r="G19" s="23" t="s">
        <v>82</v>
      </c>
      <c r="H19" s="24">
        <v>0</v>
      </c>
    </row>
    <row r="20" spans="1:8" ht="15.75">
      <c r="A20" s="5" t="s">
        <v>20</v>
      </c>
      <c r="B20" s="41" t="s">
        <v>82</v>
      </c>
      <c r="C20" s="89">
        <f>C19/170/365</f>
        <v>0.0005960883690417553</v>
      </c>
      <c r="D20" s="101">
        <f>C20/C27</f>
        <v>0.49520981023614247</v>
      </c>
      <c r="E20" s="15"/>
      <c r="F20" s="15"/>
      <c r="G20" s="15"/>
      <c r="H20" s="18"/>
    </row>
    <row r="21" spans="1:8" ht="15.75">
      <c r="A21" s="5"/>
      <c r="B21" s="12"/>
      <c r="C21" s="5"/>
      <c r="D21" s="102"/>
      <c r="E21" s="17" t="s">
        <v>97</v>
      </c>
      <c r="F21" s="22"/>
      <c r="G21" s="23"/>
      <c r="H21" s="24"/>
    </row>
    <row r="22" spans="1:8" ht="32.25" thickBot="1">
      <c r="A22" s="8" t="s">
        <v>27</v>
      </c>
      <c r="B22" s="12" t="s">
        <v>113</v>
      </c>
      <c r="C22" s="33">
        <v>4</v>
      </c>
      <c r="D22" s="102"/>
      <c r="E22" s="20" t="s">
        <v>11</v>
      </c>
      <c r="F22" s="20" t="s">
        <v>13</v>
      </c>
      <c r="G22" s="21" t="s">
        <v>84</v>
      </c>
      <c r="H22" s="65">
        <v>0.00174</v>
      </c>
    </row>
    <row r="23" spans="1:8" ht="16.5" thickBot="1">
      <c r="A23" s="5" t="s">
        <v>20</v>
      </c>
      <c r="B23" s="41" t="s">
        <v>82</v>
      </c>
      <c r="C23" s="89">
        <f>C22*C14/100/365/170</f>
        <v>0.000193392425463336</v>
      </c>
      <c r="D23" s="101">
        <f>C23/C27</f>
        <v>0.16066380638958144</v>
      </c>
      <c r="E23" s="20"/>
      <c r="F23" s="20" t="s">
        <v>94</v>
      </c>
      <c r="G23" s="21"/>
      <c r="H23" s="81">
        <v>3</v>
      </c>
    </row>
    <row r="24" spans="1:8" ht="18.75">
      <c r="A24" s="5"/>
      <c r="B24" s="12"/>
      <c r="C24" s="5"/>
      <c r="D24" s="102"/>
      <c r="E24" s="2" t="s">
        <v>56</v>
      </c>
      <c r="F24" s="3" t="s">
        <v>100</v>
      </c>
      <c r="G24" s="4" t="s">
        <v>99</v>
      </c>
      <c r="H24" s="95">
        <f>H23*74/64</f>
        <v>3.46875</v>
      </c>
    </row>
    <row r="25" spans="1:8" ht="18.75">
      <c r="A25" s="8" t="s">
        <v>28</v>
      </c>
      <c r="B25" s="41" t="s">
        <v>82</v>
      </c>
      <c r="C25" s="89">
        <f>H29</f>
        <v>0.00041422793000000005</v>
      </c>
      <c r="D25" s="101">
        <f>C25/C27</f>
        <v>0.3441263833742762</v>
      </c>
      <c r="E25" s="3" t="s">
        <v>57</v>
      </c>
      <c r="F25" s="3" t="s">
        <v>114</v>
      </c>
      <c r="G25" s="4" t="s">
        <v>98</v>
      </c>
      <c r="H25" s="70">
        <v>100</v>
      </c>
    </row>
    <row r="26" spans="1:8" ht="18.75">
      <c r="A26" s="5"/>
      <c r="B26" s="12"/>
      <c r="C26" s="5"/>
      <c r="D26" s="30"/>
      <c r="E26" s="19" t="s">
        <v>12</v>
      </c>
      <c r="F26" s="20" t="s">
        <v>14</v>
      </c>
      <c r="G26" s="21" t="s">
        <v>47</v>
      </c>
      <c r="H26" s="65">
        <v>50</v>
      </c>
    </row>
    <row r="27" spans="1:9" ht="15.75">
      <c r="A27" s="8" t="s">
        <v>35</v>
      </c>
      <c r="B27" s="41" t="s">
        <v>82</v>
      </c>
      <c r="C27" s="89">
        <f>C25+C23+C19/C9/365</f>
        <v>0.0012037087245050913</v>
      </c>
      <c r="D27" s="30"/>
      <c r="E27" s="19"/>
      <c r="F27" s="25" t="s">
        <v>20</v>
      </c>
      <c r="G27" s="23" t="s">
        <v>82</v>
      </c>
      <c r="H27" s="83">
        <f>H22*H24*H25*H26/100/1000</f>
        <v>0.00030178125</v>
      </c>
      <c r="I27" s="105">
        <f>H27/$H$29</f>
        <v>0.7285391161334774</v>
      </c>
    </row>
    <row r="28" spans="1:8" ht="15.75">
      <c r="A28" s="5"/>
      <c r="B28" s="5"/>
      <c r="C28" s="5"/>
      <c r="E28" s="19"/>
      <c r="F28" s="25"/>
      <c r="G28" s="23"/>
      <c r="H28" s="24"/>
    </row>
    <row r="29" spans="1:9" ht="15.75">
      <c r="A29" s="8" t="s">
        <v>68</v>
      </c>
      <c r="B29" s="12" t="s">
        <v>69</v>
      </c>
      <c r="C29" s="5"/>
      <c r="E29" s="17" t="s">
        <v>24</v>
      </c>
      <c r="F29" s="17"/>
      <c r="G29" s="23" t="s">
        <v>82</v>
      </c>
      <c r="H29" s="84">
        <f>H17+H19+H27</f>
        <v>0.00041422793000000005</v>
      </c>
      <c r="I29" s="105">
        <f>H29/$H$29</f>
        <v>1</v>
      </c>
    </row>
    <row r="30" spans="1:3" ht="14.25">
      <c r="A30" s="93" t="s">
        <v>44</v>
      </c>
      <c r="B30" s="5" t="s">
        <v>70</v>
      </c>
      <c r="C30" s="67">
        <v>0.00174</v>
      </c>
    </row>
    <row r="31" spans="1:3" ht="14.25">
      <c r="A31" s="93" t="s">
        <v>45</v>
      </c>
      <c r="B31" s="5" t="s">
        <v>47</v>
      </c>
      <c r="C31" s="67">
        <v>50</v>
      </c>
    </row>
    <row r="32" spans="1:3" ht="15.75">
      <c r="A32" s="93" t="s">
        <v>20</v>
      </c>
      <c r="B32" s="12" t="s">
        <v>69</v>
      </c>
      <c r="C32" s="88">
        <f>C27/C30/C31*100</f>
        <v>1.383573246557576</v>
      </c>
    </row>
    <row r="33" ht="13.5" thickBot="1"/>
    <row r="34" spans="1:4" ht="15">
      <c r="A34" s="80" t="s">
        <v>93</v>
      </c>
      <c r="B34" s="27"/>
      <c r="C34" s="27"/>
      <c r="D34" s="28"/>
    </row>
    <row r="35" spans="1:4" ht="15">
      <c r="A35" s="79"/>
      <c r="B35" s="30"/>
      <c r="C35" s="30"/>
      <c r="D35" s="31"/>
    </row>
    <row r="36" spans="1:4" ht="14.25">
      <c r="A36" s="74"/>
      <c r="B36" s="75" t="s">
        <v>89</v>
      </c>
      <c r="C36" s="30"/>
      <c r="D36" s="31"/>
    </row>
    <row r="37" spans="1:4" ht="15" thickBot="1">
      <c r="A37" s="76"/>
      <c r="B37" s="75" t="s">
        <v>91</v>
      </c>
      <c r="C37" s="30"/>
      <c r="D37" s="31"/>
    </row>
    <row r="38" spans="1:4" ht="15" thickBot="1">
      <c r="A38" s="73"/>
      <c r="B38" s="75" t="s">
        <v>92</v>
      </c>
      <c r="C38" s="30"/>
      <c r="D38" s="31"/>
    </row>
    <row r="39" spans="1:4" ht="15" thickBot="1">
      <c r="A39" s="77">
        <v>0</v>
      </c>
      <c r="B39" s="78" t="s">
        <v>90</v>
      </c>
      <c r="C39" s="43"/>
      <c r="D39" s="44"/>
    </row>
  </sheetData>
  <mergeCells count="1">
    <mergeCell ref="E8:G8"/>
  </mergeCells>
  <printOptions/>
  <pageMargins left="0.75" right="0.75" top="1" bottom="1" header="0.4921259845" footer="0.4921259845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Karlsruhe (TH)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</dc:creator>
  <cp:keywords/>
  <dc:description/>
  <cp:lastModifiedBy>ssm</cp:lastModifiedBy>
  <cp:lastPrinted>2003-07-01T07:38:57Z</cp:lastPrinted>
  <dcterms:created xsi:type="dcterms:W3CDTF">2003-05-13T12:28:50Z</dcterms:created>
  <dcterms:modified xsi:type="dcterms:W3CDTF">2003-07-01T07:39:04Z</dcterms:modified>
  <cp:category/>
  <cp:version/>
  <cp:contentType/>
  <cp:contentStatus/>
</cp:coreProperties>
</file>