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omments10.xml" ContentType="application/vnd.openxmlformats-officedocument.spreadsheetml.comments+xml"/>
  <Override PartName="/xl/comments11.xml" ContentType="application/vnd.openxmlformats-officedocument.spreadsheetml.comments+xml"/>
  <Override PartName="/xl/charts/chart1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emf" ContentType="image/x-emf"/>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defaultThemeVersion="124226"/>
  <bookViews>
    <workbookView xWindow="-15" yWindow="-15" windowWidth="20520" windowHeight="8100" activeTab="1"/>
  </bookViews>
  <sheets>
    <sheet name="Explanation" sheetId="24" r:id="rId1"/>
    <sheet name="Solid fuels - emission calc." sheetId="4" r:id="rId2"/>
    <sheet name="Liquid fuels - emission calc." sheetId="10" r:id="rId3"/>
    <sheet name="Natural gas - emission calc." sheetId="8" r:id="rId4"/>
    <sheet name="Solid fuels - NOx Analysis" sheetId="25" r:id="rId5"/>
    <sheet name="Liquid fuels - NOx Analysis" sheetId="26" r:id="rId6"/>
    <sheet name="Natural gas - NOx Analysis" sheetId="27" r:id="rId7"/>
    <sheet name="Solid fuels_Fabric_Filter" sheetId="6" r:id="rId8"/>
    <sheet name="Solid fuels_ESP" sheetId="7" r:id="rId9"/>
    <sheet name="Liquid fuels_ESP" sheetId="14" r:id="rId10"/>
    <sheet name="Solid fuels_DeSO2 " sheetId="19" r:id="rId11"/>
    <sheet name="Solid fuel_Fabric_Filter DSI " sheetId="20" r:id="rId12"/>
    <sheet name="Liquid fuels_DeSO2" sheetId="22" r:id="rId13"/>
    <sheet name="Liquid fuel_Fabric_Filter DSI" sheetId="23" r:id="rId14"/>
    <sheet name="SUIVI" sheetId="16" r:id="rId15"/>
  </sheets>
  <externalReferences>
    <externalReference r:id="rId16"/>
  </externalReferences>
  <definedNames>
    <definedName name="method_1" localSheetId="13">#REF!</definedName>
    <definedName name="method_1" localSheetId="2">#REF!</definedName>
    <definedName name="method_1" localSheetId="5">#REF!</definedName>
    <definedName name="method_1" localSheetId="12">#REF!</definedName>
    <definedName name="method_1" localSheetId="9">#REF!</definedName>
    <definedName name="method_1" localSheetId="3">#REF!</definedName>
    <definedName name="method_1" localSheetId="6">#REF!</definedName>
    <definedName name="method_1" localSheetId="11">#REF!</definedName>
    <definedName name="method_1" localSheetId="4">#REF!</definedName>
    <definedName name="method_1" localSheetId="10">#REF!</definedName>
    <definedName name="method_1">#REF!</definedName>
    <definedName name="Method_2" localSheetId="5">'[1]Solid fuels_ESP'!$C$13:$E$28</definedName>
    <definedName name="Method_2" localSheetId="9">'Liquid fuels_ESP'!$C$13:$E$28</definedName>
    <definedName name="Method_2" localSheetId="6">'[1]Solid fuels_ESP'!$C$13:$E$28</definedName>
    <definedName name="Method_2" localSheetId="4">'[1]Solid fuels_ESP'!$C$13:$E$28</definedName>
    <definedName name="Method_2">'Solid fuels_ESP'!$C$13:$E$28</definedName>
    <definedName name="_xlnm.Print_Area" localSheetId="2">'Liquid fuels - emission calc.'!$A$1:$V$94</definedName>
    <definedName name="_xlnm.Print_Area" localSheetId="3">'Natural gas - emission calc.'!$A$1:$W$88</definedName>
    <definedName name="_xlnm.Print_Area" localSheetId="1">'Solid fuels - emission calc.'!$A$1:$V$116</definedName>
  </definedNames>
  <calcPr calcId="125725"/>
</workbook>
</file>

<file path=xl/calcChain.xml><?xml version="1.0" encoding="utf-8"?>
<calcChain xmlns="http://schemas.openxmlformats.org/spreadsheetml/2006/main">
  <c r="D235" i="22"/>
  <c r="D235" i="19"/>
  <c r="O87" i="25"/>
  <c r="O84"/>
  <c r="O84" i="27"/>
  <c r="D39"/>
  <c r="D38"/>
  <c r="D37"/>
  <c r="D35"/>
  <c r="D14"/>
  <c r="D13"/>
  <c r="C111" i="26"/>
  <c r="O84"/>
  <c r="D37"/>
  <c r="D18"/>
  <c r="C111" i="25"/>
  <c r="O39"/>
  <c r="D37"/>
  <c r="D39" s="1"/>
  <c r="D18"/>
  <c r="D51" i="23"/>
  <c r="D50"/>
  <c r="D48"/>
  <c r="D47"/>
  <c r="D51" i="6"/>
  <c r="D50"/>
  <c r="D47"/>
  <c r="D51" i="20"/>
  <c r="D50"/>
  <c r="D49"/>
  <c r="D48"/>
  <c r="D47"/>
  <c r="D48" i="6"/>
  <c r="D49"/>
  <c r="D46" i="20"/>
  <c r="C26"/>
  <c r="C27" s="1"/>
  <c r="D39" i="26" l="1"/>
  <c r="D22" i="27"/>
  <c r="D25"/>
  <c r="D28"/>
  <c r="D29"/>
  <c r="D41"/>
  <c r="D42"/>
  <c r="D46"/>
  <c r="D47" s="1"/>
  <c r="D55"/>
  <c r="D56"/>
  <c r="D72"/>
  <c r="O77"/>
  <c r="D87" s="1"/>
  <c r="O78"/>
  <c r="D61" s="1"/>
  <c r="D81"/>
  <c r="D82"/>
  <c r="O87"/>
  <c r="D101"/>
  <c r="Q107"/>
  <c r="P108"/>
  <c r="P109" s="1"/>
  <c r="P110" s="1"/>
  <c r="P111" s="1"/>
  <c r="P112" s="1"/>
  <c r="P113" s="1"/>
  <c r="P114" s="1"/>
  <c r="P115" s="1"/>
  <c r="P116" s="1"/>
  <c r="Q108"/>
  <c r="Q109"/>
  <c r="Q110"/>
  <c r="D116" s="1"/>
  <c r="F116" s="1"/>
  <c r="Q111"/>
  <c r="D127" s="1"/>
  <c r="F127" s="1"/>
  <c r="Q112"/>
  <c r="G117" s="1"/>
  <c r="E117" s="1"/>
  <c r="Q113"/>
  <c r="D132" s="1"/>
  <c r="F132" s="1"/>
  <c r="Q114"/>
  <c r="D120" s="1"/>
  <c r="F120" s="1"/>
  <c r="Q115"/>
  <c r="Q116"/>
  <c r="D131" s="1"/>
  <c r="F131" s="1"/>
  <c r="Q117"/>
  <c r="F145" s="1"/>
  <c r="F146" s="1"/>
  <c r="D118"/>
  <c r="F118" s="1"/>
  <c r="E118"/>
  <c r="G118" s="1"/>
  <c r="D119"/>
  <c r="F119" s="1"/>
  <c r="E119"/>
  <c r="G119" s="1"/>
  <c r="D128"/>
  <c r="F128" s="1"/>
  <c r="E131"/>
  <c r="G131" s="1"/>
  <c r="F134"/>
  <c r="D134" s="1"/>
  <c r="E119" i="26"/>
  <c r="D119"/>
  <c r="F119" s="1"/>
  <c r="E118"/>
  <c r="D118"/>
  <c r="Q117"/>
  <c r="F145" s="1"/>
  <c r="F146" s="1"/>
  <c r="Q116"/>
  <c r="D131" s="1"/>
  <c r="Q115"/>
  <c r="Q114"/>
  <c r="D130" s="1"/>
  <c r="Q113"/>
  <c r="D132" s="1"/>
  <c r="Q112"/>
  <c r="G134" s="1"/>
  <c r="Q111"/>
  <c r="D129" s="1"/>
  <c r="Q110"/>
  <c r="D125" s="1"/>
  <c r="Q109"/>
  <c r="P109"/>
  <c r="P110" s="1"/>
  <c r="P111" s="1"/>
  <c r="P112" s="1"/>
  <c r="P113" s="1"/>
  <c r="P114" s="1"/>
  <c r="P115" s="1"/>
  <c r="P116" s="1"/>
  <c r="Q108"/>
  <c r="P108"/>
  <c r="Q107"/>
  <c r="O87"/>
  <c r="D82"/>
  <c r="D81"/>
  <c r="O78"/>
  <c r="D61" s="1"/>
  <c r="O77"/>
  <c r="D87" s="1"/>
  <c r="D72"/>
  <c r="D56"/>
  <c r="D55"/>
  <c r="D46"/>
  <c r="D29"/>
  <c r="D28"/>
  <c r="D22"/>
  <c r="R11"/>
  <c r="D15"/>
  <c r="E119" i="25"/>
  <c r="D119"/>
  <c r="E118"/>
  <c r="D118"/>
  <c r="Q117"/>
  <c r="F145" s="1"/>
  <c r="F146" s="1"/>
  <c r="Q44" s="1"/>
  <c r="Q43" s="1"/>
  <c r="Q116"/>
  <c r="D131" s="1"/>
  <c r="Q115"/>
  <c r="Q114"/>
  <c r="D120" s="1"/>
  <c r="Q113"/>
  <c r="E132" s="1"/>
  <c r="Q112"/>
  <c r="F134" s="1"/>
  <c r="Q111"/>
  <c r="E129" s="1"/>
  <c r="Q110"/>
  <c r="E116" s="1"/>
  <c r="Q109"/>
  <c r="Q108"/>
  <c r="P108"/>
  <c r="P109" s="1"/>
  <c r="P110" s="1"/>
  <c r="P111" s="1"/>
  <c r="P112" s="1"/>
  <c r="P113" s="1"/>
  <c r="P114" s="1"/>
  <c r="P115" s="1"/>
  <c r="P116" s="1"/>
  <c r="Q107"/>
  <c r="D82"/>
  <c r="D81"/>
  <c r="O78"/>
  <c r="D61" s="1"/>
  <c r="O77"/>
  <c r="D87" s="1"/>
  <c r="D72"/>
  <c r="D76" s="1"/>
  <c r="D79" s="1"/>
  <c r="D56"/>
  <c r="D55"/>
  <c r="D46"/>
  <c r="D29"/>
  <c r="D28"/>
  <c r="D25"/>
  <c r="D22"/>
  <c r="D15"/>
  <c r="D19" s="1"/>
  <c r="R11"/>
  <c r="R15" s="1"/>
  <c r="D129" i="27" l="1"/>
  <c r="F129" s="1"/>
  <c r="G134"/>
  <c r="E129"/>
  <c r="G129" s="1"/>
  <c r="F126"/>
  <c r="D126" s="1"/>
  <c r="F117"/>
  <c r="F137" s="1"/>
  <c r="D122" i="25"/>
  <c r="D125"/>
  <c r="G126" i="27"/>
  <c r="E126" s="1"/>
  <c r="D130" i="25"/>
  <c r="F130" s="1"/>
  <c r="E127" i="27"/>
  <c r="G127" s="1"/>
  <c r="E129" i="26"/>
  <c r="G129" s="1"/>
  <c r="E120" i="25"/>
  <c r="G120" s="1"/>
  <c r="E130" i="27"/>
  <c r="G130" s="1"/>
  <c r="E128"/>
  <c r="G128" s="1"/>
  <c r="E131" i="25"/>
  <c r="D50" i="26"/>
  <c r="D60"/>
  <c r="D62"/>
  <c r="D57"/>
  <c r="D58" s="1"/>
  <c r="D47"/>
  <c r="D89"/>
  <c r="D88"/>
  <c r="D83"/>
  <c r="D84" s="1"/>
  <c r="D86"/>
  <c r="D76"/>
  <c r="D93"/>
  <c r="E120"/>
  <c r="E130"/>
  <c r="G130" s="1"/>
  <c r="D130" i="27"/>
  <c r="F130" s="1"/>
  <c r="E125"/>
  <c r="G125" s="1"/>
  <c r="E124"/>
  <c r="G124" s="1"/>
  <c r="E123"/>
  <c r="G123" s="1"/>
  <c r="E122"/>
  <c r="G122" s="1"/>
  <c r="E120"/>
  <c r="G120" s="1"/>
  <c r="G137" s="1"/>
  <c r="E116"/>
  <c r="G116" s="1"/>
  <c r="D123" i="25"/>
  <c r="F123" s="1"/>
  <c r="E130"/>
  <c r="G130" s="1"/>
  <c r="D73" i="26"/>
  <c r="E127"/>
  <c r="E131"/>
  <c r="G131" s="1"/>
  <c r="E132" i="27"/>
  <c r="G132" s="1"/>
  <c r="D125"/>
  <c r="F125" s="1"/>
  <c r="D124"/>
  <c r="F124" s="1"/>
  <c r="D123"/>
  <c r="F123" s="1"/>
  <c r="D122"/>
  <c r="F122" s="1"/>
  <c r="D124" i="25"/>
  <c r="F124" s="1"/>
  <c r="F117" i="26"/>
  <c r="E128"/>
  <c r="G128" s="1"/>
  <c r="E132"/>
  <c r="D76" i="27"/>
  <c r="D60"/>
  <c r="D57"/>
  <c r="D58" s="1"/>
  <c r="D62"/>
  <c r="D50"/>
  <c r="D66" i="26"/>
  <c r="F117" i="25"/>
  <c r="D117" s="1"/>
  <c r="D50"/>
  <c r="D25" i="26"/>
  <c r="R14"/>
  <c r="R15"/>
  <c r="R16"/>
  <c r="R13"/>
  <c r="G119" i="25"/>
  <c r="F130" i="26"/>
  <c r="G119"/>
  <c r="G129" i="25"/>
  <c r="F118"/>
  <c r="F120"/>
  <c r="F131"/>
  <c r="F129" i="26"/>
  <c r="G120"/>
  <c r="G118" i="25"/>
  <c r="F125"/>
  <c r="G131"/>
  <c r="F131" i="26"/>
  <c r="G118"/>
  <c r="G127"/>
  <c r="G116" i="25"/>
  <c r="G132"/>
  <c r="F119"/>
  <c r="F122"/>
  <c r="F125" i="26"/>
  <c r="F132"/>
  <c r="G132"/>
  <c r="C138" i="27"/>
  <c r="E134"/>
  <c r="D66"/>
  <c r="E134" i="26"/>
  <c r="D116"/>
  <c r="F116" s="1"/>
  <c r="E123"/>
  <c r="G123" s="1"/>
  <c r="E125"/>
  <c r="G125" s="1"/>
  <c r="E116"/>
  <c r="G116" s="1"/>
  <c r="G117"/>
  <c r="F118"/>
  <c r="F126"/>
  <c r="D126" s="1"/>
  <c r="F134"/>
  <c r="D117"/>
  <c r="G126"/>
  <c r="E126" s="1"/>
  <c r="E122"/>
  <c r="G122" s="1"/>
  <c r="E124"/>
  <c r="G124" s="1"/>
  <c r="D120"/>
  <c r="F120" s="1"/>
  <c r="D122"/>
  <c r="F122" s="1"/>
  <c r="D123"/>
  <c r="F123" s="1"/>
  <c r="D124"/>
  <c r="F124" s="1"/>
  <c r="D127"/>
  <c r="F127" s="1"/>
  <c r="D128"/>
  <c r="F128" s="1"/>
  <c r="D134" i="25"/>
  <c r="O44"/>
  <c r="D116"/>
  <c r="F116" s="1"/>
  <c r="R16"/>
  <c r="G126"/>
  <c r="E126" s="1"/>
  <c r="G134"/>
  <c r="R14"/>
  <c r="D127"/>
  <c r="F127" s="1"/>
  <c r="D128"/>
  <c r="F128" s="1"/>
  <c r="D129"/>
  <c r="F129" s="1"/>
  <c r="D132"/>
  <c r="F132" s="1"/>
  <c r="E122"/>
  <c r="G122" s="1"/>
  <c r="E123"/>
  <c r="G123" s="1"/>
  <c r="E124"/>
  <c r="G124" s="1"/>
  <c r="E125"/>
  <c r="G125" s="1"/>
  <c r="E127"/>
  <c r="G127" s="1"/>
  <c r="E128"/>
  <c r="G128" s="1"/>
  <c r="R13"/>
  <c r="G117"/>
  <c r="F126"/>
  <c r="D126" s="1"/>
  <c r="F137" l="1"/>
  <c r="O37" s="1"/>
  <c r="O41" s="1"/>
  <c r="D117" i="27"/>
  <c r="F138"/>
  <c r="D53"/>
  <c r="D64" s="1"/>
  <c r="D53" i="26"/>
  <c r="D64" s="1"/>
  <c r="D79" i="27"/>
  <c r="C137"/>
  <c r="G138"/>
  <c r="D79" i="26"/>
  <c r="D91" s="1"/>
  <c r="D53" i="25"/>
  <c r="F137" i="26"/>
  <c r="E117"/>
  <c r="G137"/>
  <c r="D134"/>
  <c r="F138"/>
  <c r="C138"/>
  <c r="G138"/>
  <c r="C137"/>
  <c r="G135" s="1"/>
  <c r="E134" i="25"/>
  <c r="G137"/>
  <c r="O38" s="1"/>
  <c r="O42" s="1"/>
  <c r="E117"/>
  <c r="C137"/>
  <c r="F135" s="1"/>
  <c r="G138"/>
  <c r="Q38" s="1"/>
  <c r="Q42" s="1"/>
  <c r="C138"/>
  <c r="Q36" s="1"/>
  <c r="Q40" s="1"/>
  <c r="F138"/>
  <c r="Q37" s="1"/>
  <c r="Q41" s="1"/>
  <c r="F135" i="27" l="1"/>
  <c r="G135"/>
  <c r="E135" i="26"/>
  <c r="G139"/>
  <c r="F135"/>
  <c r="D135" i="25"/>
  <c r="F139"/>
  <c r="P37" s="1"/>
  <c r="P41" s="1"/>
  <c r="O36"/>
  <c r="O40" s="1"/>
  <c r="G135"/>
  <c r="E135" i="27" l="1"/>
  <c r="G139"/>
  <c r="F139"/>
  <c r="D135"/>
  <c r="C139"/>
  <c r="D135" i="26"/>
  <c r="F139"/>
  <c r="C139"/>
  <c r="E135" i="25"/>
  <c r="G139"/>
  <c r="P38" s="1"/>
  <c r="P42" s="1"/>
  <c r="C139"/>
  <c r="P36" s="1"/>
  <c r="P40" s="1"/>
  <c r="F42" i="6" l="1"/>
  <c r="D46"/>
  <c r="D60" i="14" l="1"/>
  <c r="D67"/>
  <c r="D67" i="7"/>
  <c r="D106" i="23" l="1"/>
  <c r="D106" i="20"/>
  <c r="D106" i="6"/>
  <c r="D58" l="1"/>
  <c r="K142" i="23" l="1"/>
  <c r="J142"/>
  <c r="K141"/>
  <c r="J141"/>
  <c r="F140"/>
  <c r="K140" s="1"/>
  <c r="E140"/>
  <c r="J140" s="1"/>
  <c r="K139"/>
  <c r="J139"/>
  <c r="K138"/>
  <c r="J138"/>
  <c r="K137"/>
  <c r="J137"/>
  <c r="K136"/>
  <c r="J136"/>
  <c r="K135"/>
  <c r="J135"/>
  <c r="K134"/>
  <c r="J134"/>
  <c r="K133"/>
  <c r="J133"/>
  <c r="K132"/>
  <c r="J132"/>
  <c r="K131"/>
  <c r="J131"/>
  <c r="D127"/>
  <c r="E95"/>
  <c r="D94"/>
  <c r="O84"/>
  <c r="D58"/>
  <c r="E35"/>
  <c r="C33"/>
  <c r="E20"/>
  <c r="D17"/>
  <c r="N2"/>
  <c r="D232" i="22"/>
  <c r="D173"/>
  <c r="D107"/>
  <c r="D67"/>
  <c r="M67" s="1"/>
  <c r="D83" i="10"/>
  <c r="D55" i="22" s="1"/>
  <c r="D246"/>
  <c r="D228"/>
  <c r="D211"/>
  <c r="D185"/>
  <c r="D176"/>
  <c r="D169"/>
  <c r="D147"/>
  <c r="D119"/>
  <c r="D110"/>
  <c r="D103"/>
  <c r="D84"/>
  <c r="D49"/>
  <c r="N2"/>
  <c r="D91" l="1"/>
  <c r="D157"/>
  <c r="M55"/>
  <c r="D259"/>
  <c r="D132"/>
  <c r="D198"/>
  <c r="F109" i="4" l="1"/>
  <c r="D94" i="10"/>
  <c r="D57" i="22" s="1"/>
  <c r="M57" s="1"/>
  <c r="D109" i="4"/>
  <c r="D99"/>
  <c r="L45" i="19" l="1"/>
  <c r="D94" i="20"/>
  <c r="E70" i="10"/>
  <c r="F70"/>
  <c r="G70"/>
  <c r="H70"/>
  <c r="D78" i="4"/>
  <c r="E78"/>
  <c r="F78"/>
  <c r="G78"/>
  <c r="H78"/>
  <c r="E70"/>
  <c r="F70"/>
  <c r="G70"/>
  <c r="H70"/>
  <c r="D92" i="10" l="1"/>
  <c r="D14" i="26" l="1"/>
  <c r="D98"/>
  <c r="D13"/>
  <c r="D21"/>
  <c r="D7"/>
  <c r="D211" i="19" l="1"/>
  <c r="D147"/>
  <c r="D84"/>
  <c r="D33" i="4"/>
  <c r="J109" l="1"/>
  <c r="D56" i="10"/>
  <c r="H54" l="1"/>
  <c r="D57"/>
  <c r="D60" s="1"/>
  <c r="D89" s="1"/>
  <c r="D90" l="1"/>
  <c r="D62" i="22"/>
  <c r="M62" s="1"/>
  <c r="D85" i="10"/>
  <c r="F98" i="4"/>
  <c r="D98"/>
  <c r="D6" i="26" l="1"/>
  <c r="D99"/>
  <c r="D110" i="4"/>
  <c r="D55" i="19"/>
  <c r="D60" i="22"/>
  <c r="M60" s="1"/>
  <c r="D63"/>
  <c r="M63" s="1"/>
  <c r="J98" i="4"/>
  <c r="D17" i="20" l="1"/>
  <c r="K142"/>
  <c r="J142"/>
  <c r="K141"/>
  <c r="J141"/>
  <c r="F140"/>
  <c r="K140" s="1"/>
  <c r="E140"/>
  <c r="J140" s="1"/>
  <c r="K139"/>
  <c r="J139"/>
  <c r="K138"/>
  <c r="J138"/>
  <c r="K137"/>
  <c r="J137"/>
  <c r="K136"/>
  <c r="J136"/>
  <c r="K135"/>
  <c r="J135"/>
  <c r="K134"/>
  <c r="J134"/>
  <c r="K133"/>
  <c r="J133"/>
  <c r="K132"/>
  <c r="J132"/>
  <c r="K131"/>
  <c r="J131"/>
  <c r="D127"/>
  <c r="E95"/>
  <c r="O84"/>
  <c r="D58"/>
  <c r="E35"/>
  <c r="C33"/>
  <c r="E20"/>
  <c r="N2"/>
  <c r="D228" i="19"/>
  <c r="D169"/>
  <c r="D246"/>
  <c r="D232"/>
  <c r="G33" i="4" l="1"/>
  <c r="D185" i="19"/>
  <c r="D176"/>
  <c r="D173"/>
  <c r="D119"/>
  <c r="D259" s="1"/>
  <c r="D110"/>
  <c r="D107"/>
  <c r="D103"/>
  <c r="F67"/>
  <c r="D67"/>
  <c r="M67" s="1"/>
  <c r="D157" s="1"/>
  <c r="F57"/>
  <c r="D57"/>
  <c r="M57" s="1"/>
  <c r="D49"/>
  <c r="N2"/>
  <c r="D60" i="25" l="1"/>
  <c r="D86"/>
  <c r="O89"/>
  <c r="O90" s="1"/>
  <c r="D89" s="1"/>
  <c r="D91" i="19"/>
  <c r="D174"/>
  <c r="D175" s="1"/>
  <c r="D108"/>
  <c r="D126" s="1"/>
  <c r="D139" s="1"/>
  <c r="D132"/>
  <c r="D198"/>
  <c r="D192" l="1"/>
  <c r="D205" s="1"/>
  <c r="D109"/>
  <c r="D68" i="8"/>
  <c r="H57" i="4" l="1"/>
  <c r="D84" i="10"/>
  <c r="D6" i="16"/>
  <c r="B6"/>
  <c r="C33" i="6"/>
  <c r="D56" i="22" l="1"/>
  <c r="D95" i="10"/>
  <c r="M56" i="22" l="1"/>
  <c r="D65"/>
  <c r="M65" l="1"/>
  <c r="K35" i="4"/>
  <c r="K105" i="14" l="1"/>
  <c r="J105"/>
  <c r="K104"/>
  <c r="J104"/>
  <c r="K103"/>
  <c r="J103"/>
  <c r="K102"/>
  <c r="J102"/>
  <c r="K101"/>
  <c r="J101"/>
  <c r="K100"/>
  <c r="J100"/>
  <c r="K99"/>
  <c r="J99"/>
  <c r="K98"/>
  <c r="J98"/>
  <c r="K97"/>
  <c r="J97"/>
  <c r="K96"/>
  <c r="J96"/>
  <c r="K95"/>
  <c r="J95"/>
  <c r="K94"/>
  <c r="J94"/>
  <c r="D90"/>
  <c r="E60"/>
  <c r="C60"/>
  <c r="E59"/>
  <c r="C59"/>
  <c r="H20"/>
  <c r="D19"/>
  <c r="D20" s="1"/>
  <c r="D18"/>
  <c r="D57" i="4" l="1"/>
  <c r="J5" l="1"/>
  <c r="D90" i="7"/>
  <c r="K105"/>
  <c r="J105"/>
  <c r="K104"/>
  <c r="J104"/>
  <c r="K103"/>
  <c r="J103"/>
  <c r="K102"/>
  <c r="J102"/>
  <c r="K97"/>
  <c r="J97"/>
  <c r="K134" i="6"/>
  <c r="J134"/>
  <c r="K135"/>
  <c r="J135"/>
  <c r="K133"/>
  <c r="J133"/>
  <c r="K96" i="7"/>
  <c r="J96"/>
  <c r="K101"/>
  <c r="J101"/>
  <c r="K100"/>
  <c r="J100"/>
  <c r="K99"/>
  <c r="J99"/>
  <c r="K98"/>
  <c r="J98"/>
  <c r="K95"/>
  <c r="J95"/>
  <c r="K94"/>
  <c r="J94"/>
  <c r="K142" i="6"/>
  <c r="J142"/>
  <c r="K141"/>
  <c r="J141"/>
  <c r="K139"/>
  <c r="J139"/>
  <c r="K138"/>
  <c r="J138"/>
  <c r="K137"/>
  <c r="J137"/>
  <c r="K136"/>
  <c r="J136"/>
  <c r="K132"/>
  <c r="J132"/>
  <c r="K131"/>
  <c r="J131"/>
  <c r="F140"/>
  <c r="K140" s="1"/>
  <c r="E140"/>
  <c r="J140" s="1"/>
  <c r="D127"/>
  <c r="D38" i="25" l="1"/>
  <c r="D41" s="1"/>
  <c r="D77"/>
  <c r="D51"/>
  <c r="D19" i="7"/>
  <c r="D20" s="1"/>
  <c r="D60"/>
  <c r="E20" i="6" l="1"/>
  <c r="N2" l="1"/>
  <c r="E60" i="7"/>
  <c r="E59"/>
  <c r="C60"/>
  <c r="C59"/>
  <c r="D17" i="6"/>
  <c r="O84"/>
  <c r="D94"/>
  <c r="E95"/>
  <c r="E35"/>
  <c r="D72" i="10" l="1"/>
  <c r="D71"/>
  <c r="D70" s="1"/>
  <c r="J72"/>
  <c r="H35"/>
  <c r="D33"/>
  <c r="O89" i="26" s="1"/>
  <c r="O90" s="1"/>
  <c r="F16" i="10"/>
  <c r="D58" s="1"/>
  <c r="D59" s="1"/>
  <c r="D87" s="1"/>
  <c r="D58" i="22" s="1"/>
  <c r="M58" s="1"/>
  <c r="F15" i="10"/>
  <c r="F14"/>
  <c r="F13"/>
  <c r="F12"/>
  <c r="F11"/>
  <c r="F10"/>
  <c r="F9"/>
  <c r="J5"/>
  <c r="D86" i="8"/>
  <c r="D79"/>
  <c r="H12"/>
  <c r="H11"/>
  <c r="H10"/>
  <c r="H9"/>
  <c r="H35"/>
  <c r="D33"/>
  <c r="F16"/>
  <c r="F15"/>
  <c r="F14"/>
  <c r="F13"/>
  <c r="F12"/>
  <c r="F11"/>
  <c r="F10"/>
  <c r="F9"/>
  <c r="J5"/>
  <c r="D51" i="27" l="1"/>
  <c r="D65" s="1"/>
  <c r="D77"/>
  <c r="D98"/>
  <c r="D18"/>
  <c r="D21"/>
  <c r="D7"/>
  <c r="D15" s="1"/>
  <c r="O89"/>
  <c r="O90" s="1"/>
  <c r="D89" s="1"/>
  <c r="D86"/>
  <c r="D38" i="26"/>
  <c r="D41" s="1"/>
  <c r="D77"/>
  <c r="D92" s="1"/>
  <c r="D51"/>
  <c r="D65" s="1"/>
  <c r="D62" i="10"/>
  <c r="D91" s="1"/>
  <c r="D108" i="22"/>
  <c r="D126" s="1"/>
  <c r="D174"/>
  <c r="D192" s="1"/>
  <c r="D73" i="10"/>
  <c r="D82"/>
  <c r="D52" i="8"/>
  <c r="W80" i="4"/>
  <c r="F107"/>
  <c r="H20" i="7"/>
  <c r="D18"/>
  <c r="D71" i="4"/>
  <c r="D70" s="1"/>
  <c r="R11" i="27" l="1"/>
  <c r="D68" i="26"/>
  <c r="D67"/>
  <c r="D95"/>
  <c r="D94"/>
  <c r="D68" i="27"/>
  <c r="D67"/>
  <c r="D54" i="22"/>
  <c r="D86" i="10"/>
  <c r="D27" i="14"/>
  <c r="D56" s="1"/>
  <c r="D73" s="1"/>
  <c r="D109" i="22"/>
  <c r="D139"/>
  <c r="D8"/>
  <c r="D7" s="1"/>
  <c r="D64"/>
  <c r="M64" s="1"/>
  <c r="D43" s="1"/>
  <c r="G72" i="10"/>
  <c r="J73"/>
  <c r="D205" i="22"/>
  <c r="D175"/>
  <c r="D96" i="10"/>
  <c r="G73"/>
  <c r="D54" i="8"/>
  <c r="D55"/>
  <c r="D61" i="22" l="1"/>
  <c r="M61" s="1"/>
  <c r="D102" i="26"/>
  <c r="D35"/>
  <c r="R15" i="27"/>
  <c r="R16"/>
  <c r="R14"/>
  <c r="R13"/>
  <c r="D39" i="22"/>
  <c r="D38"/>
  <c r="D37"/>
  <c r="M54"/>
  <c r="D18" i="23" s="1"/>
  <c r="D66" i="22"/>
  <c r="M66" s="1"/>
  <c r="D73" s="1"/>
  <c r="D48"/>
  <c r="D120"/>
  <c r="D121" s="1"/>
  <c r="D186"/>
  <c r="D187" s="1"/>
  <c r="D247"/>
  <c r="D248" s="1"/>
  <c r="D57" i="8"/>
  <c r="D58" s="1"/>
  <c r="D59" s="1"/>
  <c r="D60" s="1"/>
  <c r="D61" i="10"/>
  <c r="D63"/>
  <c r="D56" i="19"/>
  <c r="D101" i="26" l="1"/>
  <c r="D42"/>
  <c r="D78" i="22"/>
  <c r="D77"/>
  <c r="D79" s="1"/>
  <c r="D80" s="1"/>
  <c r="D95" i="23"/>
  <c r="D19"/>
  <c r="D20" s="1"/>
  <c r="D93"/>
  <c r="D229" i="22"/>
  <c r="D170"/>
  <c r="D104"/>
  <c r="D88"/>
  <c r="D89"/>
  <c r="D154"/>
  <c r="D90"/>
  <c r="D155"/>
  <c r="D85"/>
  <c r="D148"/>
  <c r="D212"/>
  <c r="D93" i="10"/>
  <c r="D11" i="14" s="1"/>
  <c r="D66" s="1"/>
  <c r="D88" i="10"/>
  <c r="D59" i="22" s="1"/>
  <c r="M59" s="1"/>
  <c r="D82" i="4"/>
  <c r="D74"/>
  <c r="D107"/>
  <c r="J107" s="1"/>
  <c r="D14" i="25" s="1"/>
  <c r="F16" i="4"/>
  <c r="D112" i="23" l="1"/>
  <c r="D100" i="26"/>
  <c r="F102" s="1"/>
  <c r="D98" i="25"/>
  <c r="D21"/>
  <c r="D7"/>
  <c r="D13"/>
  <c r="D245" i="22"/>
  <c r="D258"/>
  <c r="D111"/>
  <c r="D112" s="1"/>
  <c r="D113" s="1"/>
  <c r="D105"/>
  <c r="D106" s="1"/>
  <c r="D33" i="23"/>
  <c r="D131" i="22"/>
  <c r="D118"/>
  <c r="D236"/>
  <c r="D237" s="1"/>
  <c r="D230"/>
  <c r="D231" s="1"/>
  <c r="D197"/>
  <c r="D184"/>
  <c r="D158"/>
  <c r="D92"/>
  <c r="D177"/>
  <c r="D178" s="1"/>
  <c r="D179" s="1"/>
  <c r="D171"/>
  <c r="D172" s="1"/>
  <c r="D98" i="23"/>
  <c r="D233" i="22" s="1"/>
  <c r="D253" s="1"/>
  <c r="H58" i="4"/>
  <c r="H56"/>
  <c r="F100" s="1"/>
  <c r="D58"/>
  <c r="D56"/>
  <c r="F101" i="26" l="1"/>
  <c r="H59" i="4"/>
  <c r="H60" s="1"/>
  <c r="F104" s="1"/>
  <c r="D100" i="22"/>
  <c r="D115" s="1"/>
  <c r="D93"/>
  <c r="D94" s="1"/>
  <c r="D95" s="1"/>
  <c r="D125" s="1"/>
  <c r="D35" i="23"/>
  <c r="D41" s="1"/>
  <c r="D166" i="22"/>
  <c r="D181" s="1"/>
  <c r="D159"/>
  <c r="D160" s="1"/>
  <c r="D161" s="1"/>
  <c r="D191" s="1"/>
  <c r="D239"/>
  <c r="D14" i="23" s="1"/>
  <c r="D46"/>
  <c r="D49"/>
  <c r="D80" i="4"/>
  <c r="D59"/>
  <c r="H61"/>
  <c r="H63"/>
  <c r="D10" i="14"/>
  <c r="D37" i="23" l="1"/>
  <c r="D13"/>
  <c r="D105"/>
  <c r="D52"/>
  <c r="D164" i="22"/>
  <c r="D202" s="1"/>
  <c r="D201"/>
  <c r="D188"/>
  <c r="D204"/>
  <c r="D98"/>
  <c r="D123" s="1"/>
  <c r="D138"/>
  <c r="D135"/>
  <c r="D122"/>
  <c r="D35" i="14"/>
  <c r="D65" s="1"/>
  <c r="D68"/>
  <c r="D63" i="4"/>
  <c r="D60"/>
  <c r="D61" s="1"/>
  <c r="D17" i="14"/>
  <c r="D21" s="1"/>
  <c r="I25" s="1"/>
  <c r="D206" i="22" l="1"/>
  <c r="D207"/>
  <c r="D127"/>
  <c r="D128"/>
  <c r="D136"/>
  <c r="D137" s="1"/>
  <c r="D59" i="23"/>
  <c r="D99" s="1"/>
  <c r="F42"/>
  <c r="D71"/>
  <c r="D189" i="22"/>
  <c r="D124"/>
  <c r="D203"/>
  <c r="D107" i="23"/>
  <c r="D79"/>
  <c r="D104" s="1"/>
  <c r="D238" i="22"/>
  <c r="D240" s="1"/>
  <c r="D61" i="14"/>
  <c r="I23"/>
  <c r="I22"/>
  <c r="H25"/>
  <c r="H23"/>
  <c r="D22"/>
  <c r="D23" s="1"/>
  <c r="H24"/>
  <c r="I24" s="1"/>
  <c r="D190" i="22" l="1"/>
  <c r="D193"/>
  <c r="D194"/>
  <c r="D140"/>
  <c r="D141"/>
  <c r="D80" i="23"/>
  <c r="D81" s="1"/>
  <c r="D24" i="14"/>
  <c r="D25" s="1"/>
  <c r="H21" s="1"/>
  <c r="H22" s="1"/>
  <c r="I20"/>
  <c r="F99" i="4"/>
  <c r="F10"/>
  <c r="D82" i="23" l="1"/>
  <c r="D86" s="1"/>
  <c r="F56" i="19"/>
  <c r="M56" s="1"/>
  <c r="J99" i="4"/>
  <c r="F110"/>
  <c r="I21" i="14"/>
  <c r="D26" s="1"/>
  <c r="D28" s="1"/>
  <c r="F9" i="4"/>
  <c r="D62" s="1"/>
  <c r="J80"/>
  <c r="F14"/>
  <c r="F13"/>
  <c r="F15"/>
  <c r="F12"/>
  <c r="F11"/>
  <c r="D215" i="22" l="1"/>
  <c r="D87" i="23"/>
  <c r="D108"/>
  <c r="D111" s="1"/>
  <c r="D89"/>
  <c r="J110" i="4"/>
  <c r="H62"/>
  <c r="D72"/>
  <c r="D97" s="1"/>
  <c r="F55" i="19"/>
  <c r="F65" s="1"/>
  <c r="D73" i="4"/>
  <c r="D104" s="1"/>
  <c r="J72"/>
  <c r="D81"/>
  <c r="F97"/>
  <c r="F101" s="1"/>
  <c r="F111" l="1"/>
  <c r="D54" i="19"/>
  <c r="D111" i="4"/>
  <c r="F54" i="19"/>
  <c r="F66" s="1"/>
  <c r="D65"/>
  <c r="D105" i="4"/>
  <c r="D106" s="1"/>
  <c r="G81"/>
  <c r="G72"/>
  <c r="D102"/>
  <c r="G73"/>
  <c r="G80"/>
  <c r="J81"/>
  <c r="M55" i="19"/>
  <c r="F102" i="4"/>
  <c r="J97"/>
  <c r="J73"/>
  <c r="D100" s="1"/>
  <c r="D101" s="1"/>
  <c r="D88" i="25" l="1"/>
  <c r="D62"/>
  <c r="J111" i="4"/>
  <c r="M54" i="19"/>
  <c r="F58"/>
  <c r="F105" i="4"/>
  <c r="D66" i="19"/>
  <c r="F60"/>
  <c r="J102" i="4"/>
  <c r="D18" i="6" s="1"/>
  <c r="D64" i="19"/>
  <c r="D108" i="4"/>
  <c r="D58" i="19"/>
  <c r="M65"/>
  <c r="F103" i="4"/>
  <c r="J104" s="1"/>
  <c r="J105" s="1"/>
  <c r="F62" i="19"/>
  <c r="J100" i="4"/>
  <c r="E115"/>
  <c r="D6" i="25" l="1"/>
  <c r="D99"/>
  <c r="D93" i="6"/>
  <c r="D95"/>
  <c r="F106" i="4"/>
  <c r="J106" s="1"/>
  <c r="F108"/>
  <c r="F63" i="19"/>
  <c r="M58"/>
  <c r="J103" i="4"/>
  <c r="D35" i="25" s="1"/>
  <c r="F61" i="19"/>
  <c r="M66"/>
  <c r="D155" s="1"/>
  <c r="F59"/>
  <c r="D59"/>
  <c r="E114" i="4"/>
  <c r="D101" i="25" l="1"/>
  <c r="D42"/>
  <c r="D112" i="6"/>
  <c r="D260" i="22"/>
  <c r="D261" s="1"/>
  <c r="D133"/>
  <c r="D134" s="1"/>
  <c r="D199"/>
  <c r="D200" s="1"/>
  <c r="D73" i="19"/>
  <c r="D154"/>
  <c r="J108" i="4"/>
  <c r="M59" i="19"/>
  <c r="D88"/>
  <c r="D89"/>
  <c r="D90"/>
  <c r="D103" i="4"/>
  <c r="D102" i="25" s="1"/>
  <c r="D60" i="19"/>
  <c r="J101" i="4"/>
  <c r="D73" i="25" l="1"/>
  <c r="D83" s="1"/>
  <c r="D84" s="1"/>
  <c r="D91" s="1"/>
  <c r="D92" s="1"/>
  <c r="D93" s="1"/>
  <c r="D47"/>
  <c r="D57" s="1"/>
  <c r="D58" s="1"/>
  <c r="D64" s="1"/>
  <c r="D65" s="1"/>
  <c r="D100"/>
  <c r="F102" s="1"/>
  <c r="D77" i="19"/>
  <c r="D78"/>
  <c r="D61"/>
  <c r="M60"/>
  <c r="D158"/>
  <c r="D92"/>
  <c r="D62"/>
  <c r="D27" i="7"/>
  <c r="D95" i="25" l="1"/>
  <c r="D68"/>
  <c r="D66"/>
  <c r="D67"/>
  <c r="D94"/>
  <c r="F101"/>
  <c r="D56" i="7"/>
  <c r="D73" s="1"/>
  <c r="M61" i="19"/>
  <c r="D18" i="20"/>
  <c r="D93" s="1"/>
  <c r="D166" i="19"/>
  <c r="D100"/>
  <c r="M62"/>
  <c r="M63" s="1"/>
  <c r="D159"/>
  <c r="D160" s="1"/>
  <c r="D93"/>
  <c r="D94" s="1"/>
  <c r="D37" i="14"/>
  <c r="D39" s="1"/>
  <c r="D63" i="19"/>
  <c r="D98" i="6"/>
  <c r="D19" i="20" l="1"/>
  <c r="D20" s="1"/>
  <c r="D95"/>
  <c r="F64" i="19"/>
  <c r="M64" s="1"/>
  <c r="D37" s="1"/>
  <c r="D161"/>
  <c r="D191" s="1"/>
  <c r="D204" s="1"/>
  <c r="D95"/>
  <c r="D98" s="1"/>
  <c r="D38" i="14"/>
  <c r="D57"/>
  <c r="D58" s="1"/>
  <c r="D19" i="6"/>
  <c r="D20" s="1"/>
  <c r="D98" i="20" l="1"/>
  <c r="D43" i="14"/>
  <c r="D45" s="1"/>
  <c r="D112" i="20"/>
  <c r="D33"/>
  <c r="D35" s="1"/>
  <c r="D37" s="1"/>
  <c r="D38" i="19"/>
  <c r="D43"/>
  <c r="D48" s="1"/>
  <c r="D229" s="1"/>
  <c r="D260"/>
  <c r="D261" s="1"/>
  <c r="D199"/>
  <c r="D200" s="1"/>
  <c r="D8"/>
  <c r="D7" s="1"/>
  <c r="D39" s="1"/>
  <c r="D133"/>
  <c r="D134" s="1"/>
  <c r="D79"/>
  <c r="D80" s="1"/>
  <c r="D188"/>
  <c r="D164"/>
  <c r="D201"/>
  <c r="D125"/>
  <c r="D138" s="1"/>
  <c r="D135"/>
  <c r="D122"/>
  <c r="D14" i="6"/>
  <c r="D105" s="1"/>
  <c r="D11" i="7"/>
  <c r="D66" s="1"/>
  <c r="D10"/>
  <c r="D13" i="6"/>
  <c r="D33"/>
  <c r="D236" i="19" l="1"/>
  <c r="D71" i="20"/>
  <c r="F42"/>
  <c r="D85" i="19"/>
  <c r="D131" s="1"/>
  <c r="D44" i="14"/>
  <c r="D49" s="1"/>
  <c r="D35" i="7"/>
  <c r="D65" s="1"/>
  <c r="D68"/>
  <c r="D79" i="6"/>
  <c r="D104" s="1"/>
  <c r="D107"/>
  <c r="D233" i="19"/>
  <c r="D253" s="1"/>
  <c r="D266" s="1"/>
  <c r="D234" i="22"/>
  <c r="D266"/>
  <c r="D247" i="19"/>
  <c r="D248" s="1"/>
  <c r="D120"/>
  <c r="D121" s="1"/>
  <c r="D186"/>
  <c r="D187" s="1"/>
  <c r="D212"/>
  <c r="D258" s="1"/>
  <c r="D148"/>
  <c r="D41" i="20"/>
  <c r="D17" i="7"/>
  <c r="D21" s="1"/>
  <c r="D59" i="20"/>
  <c r="D99" s="1"/>
  <c r="D170" i="19"/>
  <c r="D104"/>
  <c r="D35" i="6"/>
  <c r="D37" s="1"/>
  <c r="D230" i="19" l="1"/>
  <c r="D231" s="1"/>
  <c r="D237"/>
  <c r="D69" i="14"/>
  <c r="D72" s="1"/>
  <c r="D52"/>
  <c r="D62" s="1"/>
  <c r="D50"/>
  <c r="D61" i="7"/>
  <c r="D97" i="6"/>
  <c r="D234" i="19"/>
  <c r="D241" i="22"/>
  <c r="D52" i="20"/>
  <c r="D80" s="1"/>
  <c r="D22" i="7"/>
  <c r="D23" s="1"/>
  <c r="D245" i="19"/>
  <c r="D105"/>
  <c r="D106" s="1"/>
  <c r="D111"/>
  <c r="D112" s="1"/>
  <c r="D171"/>
  <c r="D172" s="1"/>
  <c r="D177"/>
  <c r="D178" s="1"/>
  <c r="D179" s="1"/>
  <c r="D118"/>
  <c r="D184"/>
  <c r="D197"/>
  <c r="D41" i="6"/>
  <c r="D52" s="1"/>
  <c r="D70" i="14" l="1"/>
  <c r="D75" s="1"/>
  <c r="D241" i="19"/>
  <c r="D71" i="6"/>
  <c r="D59"/>
  <c r="D239" i="19"/>
  <c r="D13" i="20" s="1"/>
  <c r="D24" i="7"/>
  <c r="D25" s="1"/>
  <c r="H21" s="1"/>
  <c r="D181" i="19"/>
  <c r="D202" s="1"/>
  <c r="D113"/>
  <c r="D115" s="1"/>
  <c r="I20" i="7"/>
  <c r="D74" i="14" l="1"/>
  <c r="D71"/>
  <c r="D206" i="19"/>
  <c r="D207"/>
  <c r="D203"/>
  <c r="D99" i="6"/>
  <c r="D101" s="1"/>
  <c r="D80"/>
  <c r="D81" s="1"/>
  <c r="D97" i="23"/>
  <c r="D14" i="20"/>
  <c r="D81"/>
  <c r="D189" i="19"/>
  <c r="D136"/>
  <c r="D123"/>
  <c r="H22" i="7"/>
  <c r="I21"/>
  <c r="D105" i="20" l="1"/>
  <c r="J14"/>
  <c r="J15" s="1"/>
  <c r="D190" i="19"/>
  <c r="D193"/>
  <c r="D137"/>
  <c r="D140"/>
  <c r="D141"/>
  <c r="D101" i="23"/>
  <c r="D109" s="1"/>
  <c r="D114" s="1"/>
  <c r="D82" i="6"/>
  <c r="D86" s="1"/>
  <c r="D82" i="20"/>
  <c r="D86" s="1"/>
  <c r="D215" i="19" s="1"/>
  <c r="D216" s="1"/>
  <c r="D79" i="20"/>
  <c r="D127" i="19"/>
  <c r="D124"/>
  <c r="D194"/>
  <c r="D128"/>
  <c r="H23" i="7"/>
  <c r="I22"/>
  <c r="D113" i="23" l="1"/>
  <c r="D110"/>
  <c r="D216" i="22"/>
  <c r="D217" s="1"/>
  <c r="D108" i="20"/>
  <c r="D111" s="1"/>
  <c r="D89" i="6"/>
  <c r="D108"/>
  <c r="D111" s="1"/>
  <c r="D104" i="20"/>
  <c r="D107"/>
  <c r="D238" i="19"/>
  <c r="D240" s="1"/>
  <c r="D87" i="20"/>
  <c r="D89"/>
  <c r="D87" i="6"/>
  <c r="H24" i="7"/>
  <c r="I23"/>
  <c r="D262" i="22" l="1"/>
  <c r="D225"/>
  <c r="D242" s="1"/>
  <c r="D252"/>
  <c r="D265" s="1"/>
  <c r="D249"/>
  <c r="D223"/>
  <c r="D109" i="6"/>
  <c r="D97" i="20"/>
  <c r="D101" s="1"/>
  <c r="D109" s="1"/>
  <c r="D113" s="1"/>
  <c r="I24" i="7"/>
  <c r="H25"/>
  <c r="I25" s="1"/>
  <c r="D217" i="19"/>
  <c r="D67" i="8"/>
  <c r="D263" i="22" l="1"/>
  <c r="D225" i="19"/>
  <c r="D242" s="1"/>
  <c r="D223"/>
  <c r="D250" i="22"/>
  <c r="D113" i="6"/>
  <c r="D110"/>
  <c r="D114"/>
  <c r="D114" i="20"/>
  <c r="D110"/>
  <c r="D26" i="7"/>
  <c r="D28" s="1"/>
  <c r="D37" s="1"/>
  <c r="D252" i="19"/>
  <c r="D265" s="1"/>
  <c r="D262"/>
  <c r="D249"/>
  <c r="J68" i="8"/>
  <c r="G68"/>
  <c r="D268" i="22" l="1"/>
  <c r="D267"/>
  <c r="D255"/>
  <c r="D254"/>
  <c r="D264"/>
  <c r="D263" i="19"/>
  <c r="D264" s="1"/>
  <c r="D57" i="7"/>
  <c r="D58" s="1"/>
  <c r="D38"/>
  <c r="D251" i="22"/>
  <c r="D39" i="7"/>
  <c r="D250" i="19"/>
  <c r="J69" i="8"/>
  <c r="D69" s="1"/>
  <c r="D251" i="19" l="1"/>
  <c r="D254"/>
  <c r="D255"/>
  <c r="D268"/>
  <c r="D267"/>
  <c r="D43" i="7"/>
  <c r="D82" i="8"/>
  <c r="D83" s="1"/>
  <c r="D84"/>
  <c r="D85" s="1"/>
  <c r="G69"/>
  <c r="D6" i="27" l="1"/>
  <c r="D102"/>
  <c r="D99"/>
  <c r="D45" i="7"/>
  <c r="D80" i="8"/>
  <c r="D81" s="1"/>
  <c r="D88" i="27" s="1"/>
  <c r="D44" i="7"/>
  <c r="D100" i="27" l="1"/>
  <c r="D73"/>
  <c r="D83" s="1"/>
  <c r="D84" s="1"/>
  <c r="D91" s="1"/>
  <c r="D92" s="1"/>
  <c r="D49" i="7"/>
  <c r="D52" s="1"/>
  <c r="D62" s="1"/>
  <c r="D94" i="27" l="1"/>
  <c r="D95"/>
  <c r="D93"/>
  <c r="F102"/>
  <c r="F101"/>
  <c r="D69" i="7"/>
  <c r="D72" s="1"/>
  <c r="D50"/>
  <c r="D70" s="1"/>
  <c r="D75" l="1"/>
  <c r="D71"/>
  <c r="D74"/>
</calcChain>
</file>

<file path=xl/comments1.xml><?xml version="1.0" encoding="utf-8"?>
<comments xmlns="http://schemas.openxmlformats.org/spreadsheetml/2006/main">
  <authors>
    <author>Nadine NA. ALLEMAND</author>
    <author>Ann-Kathrin Müller</author>
    <author>Simon Schulte Beerbühl</author>
  </authors>
  <commentList>
    <comment ref="G4" authorId="0">
      <text>
        <r>
          <rPr>
            <sz val="9"/>
            <color indexed="81"/>
            <rFont val="Tahoma"/>
            <family val="2"/>
          </rPr>
          <t xml:space="preserve">
Just valid for De Nox and dedust techniques</t>
        </r>
      </text>
    </comment>
    <comment ref="F31" authorId="0">
      <text>
        <r>
          <rPr>
            <sz val="9"/>
            <color indexed="81"/>
            <rFont val="Tahoma"/>
            <family val="2"/>
          </rPr>
          <t xml:space="preserve">if you choose one solution, please input 0 in the other solution
</t>
        </r>
      </text>
    </comment>
    <comment ref="D32" authorId="1">
      <text>
        <r>
          <rPr>
            <sz val="9"/>
            <color indexed="81"/>
            <rFont val="Tahoma"/>
            <family val="2"/>
          </rPr>
          <t>less than 20% co-firing rate; Please fill in 0 if no co-firing</t>
        </r>
      </text>
    </comment>
    <comment ref="J76" authorId="2">
      <text>
        <r>
          <rPr>
            <sz val="9"/>
            <color indexed="81"/>
            <rFont val="Tahoma"/>
            <family val="2"/>
          </rPr>
          <t>Please indicate the fuel moisture content. This depends largely on the way of storage and handling and cannot be given in terms of reference values, as the possible range is very large</t>
        </r>
      </text>
    </comment>
    <comment ref="I79" authorId="2">
      <text>
        <r>
          <rPr>
            <sz val="9"/>
            <color indexed="81"/>
            <rFont val="Tahoma"/>
            <family val="2"/>
          </rPr>
          <t>Please indicate the ash content. Be aware, that ash content may deviate across a single biomass and that bark contains more ash than wood itself</t>
        </r>
      </text>
    </comment>
  </commentList>
</comments>
</file>

<file path=xl/comments10.xml><?xml version="1.0" encoding="utf-8"?>
<comments xmlns="http://schemas.openxmlformats.org/spreadsheetml/2006/main">
  <authors>
    <author>Nadine NA. ALLEMAND</author>
    <author>beerbühl</author>
  </authors>
  <commentList>
    <comment ref="C16" authorId="0">
      <text>
        <r>
          <rPr>
            <sz val="9"/>
            <color indexed="81"/>
            <rFont val="Tahoma"/>
            <family val="2"/>
          </rPr>
          <t>Not yet developed</t>
        </r>
        <r>
          <rPr>
            <sz val="9"/>
            <color indexed="81"/>
            <rFont val="Tahoma"/>
            <family val="2"/>
          </rPr>
          <t xml:space="preserve">
</t>
        </r>
      </text>
    </comment>
    <comment ref="C19" authorId="0">
      <text>
        <r>
          <rPr>
            <sz val="9"/>
            <color indexed="81"/>
            <rFont val="Tahoma"/>
            <family val="2"/>
          </rPr>
          <t xml:space="preserve">By product from limestone
</t>
        </r>
      </text>
    </comment>
    <comment ref="D20" authorId="0">
      <text>
        <r>
          <rPr>
            <sz val="9"/>
            <color indexed="81"/>
            <rFont val="Tahoma"/>
            <family val="2"/>
          </rPr>
          <t>A negative figure is input due to benefit in case of valorisation,
In some cases, prices even for valorisation are positive (the plant operator has to pay). In that cases, the positive prices are filled in cell D21</t>
        </r>
      </text>
    </comment>
    <comment ref="C22" authorId="0">
      <text>
        <r>
          <rPr>
            <sz val="9"/>
            <color indexed="81"/>
            <rFont val="Tahoma"/>
            <family val="2"/>
          </rPr>
          <t xml:space="preserve">By-product from lime
</t>
        </r>
      </text>
    </comment>
    <comment ref="D23" authorId="0">
      <text>
        <r>
          <rPr>
            <sz val="9"/>
            <color indexed="81"/>
            <rFont val="Tahoma"/>
            <family val="2"/>
          </rPr>
          <t xml:space="preserve">A negative figure is input due to benefit in case of valorisation,
In some cases, prices even for valorisation are positive (the plant operator has to pay). In that cases, the positive prices are filled in cell D24
</t>
        </r>
      </text>
    </comment>
    <comment ref="D27" authorId="0">
      <text>
        <r>
          <rPr>
            <sz val="9"/>
            <color indexed="81"/>
            <rFont val="Tahoma"/>
            <family val="2"/>
          </rPr>
          <t xml:space="preserve">A negative figure is input due to benefit in case of valorisation,
In some cases, prices even for valorisation are positive (the plant operator has to pay). In that cases, the positive prices are filled in cell D28
</t>
        </r>
      </text>
    </comment>
    <comment ref="C29" authorId="0">
      <text>
        <r>
          <rPr>
            <sz val="9"/>
            <color indexed="81"/>
            <rFont val="Tahoma"/>
            <family val="2"/>
          </rPr>
          <t>Not yet developed</t>
        </r>
      </text>
    </comment>
    <comment ref="D36" authorId="1">
      <text>
        <r>
          <rPr>
            <sz val="9"/>
            <color indexed="81"/>
            <rFont val="Tahoma"/>
            <family val="2"/>
          </rPr>
          <t xml:space="preserve">Choose the sulphur content of the fuel
</t>
        </r>
      </text>
    </comment>
    <comment ref="O43" authorId="0">
      <text>
        <r>
          <rPr>
            <sz val="9"/>
            <color indexed="81"/>
            <rFont val="Tahoma"/>
            <family val="2"/>
          </rPr>
          <t xml:space="preserve">to be filled, examples missing. 
</t>
        </r>
      </text>
    </comment>
    <comment ref="D44" authorId="0">
      <text>
        <r>
          <rPr>
            <sz val="9"/>
            <color indexed="81"/>
            <rFont val="Tahoma"/>
            <family val="2"/>
          </rPr>
          <t>You can test the 3 techniques but check your plant data and reduction efficiency required are in the range of use of the technique</t>
        </r>
        <r>
          <rPr>
            <b/>
            <sz val="9"/>
            <color indexed="81"/>
            <rFont val="Tahoma"/>
            <family val="2"/>
          </rPr>
          <t xml:space="preserve">
</t>
        </r>
        <r>
          <rPr>
            <sz val="9"/>
            <color indexed="81"/>
            <rFont val="Tahoma"/>
            <family val="2"/>
          </rPr>
          <t xml:space="preserve">
</t>
        </r>
      </text>
    </comment>
    <comment ref="D47" authorId="0">
      <text>
        <r>
          <rPr>
            <sz val="9"/>
            <color indexed="81"/>
            <rFont val="Tahoma"/>
            <family val="2"/>
          </rPr>
          <t xml:space="preserve">The new SO2 outlet emissions could be taken minus 15 % of the target to take into account a margin of uncertainty
</t>
        </r>
      </text>
    </comment>
    <comment ref="D50" authorId="0">
      <text>
        <r>
          <rPr>
            <sz val="9"/>
            <color indexed="81"/>
            <rFont val="Tahoma"/>
            <family val="2"/>
          </rPr>
          <t xml:space="preserve">To be considered only for LSFO FGD and LSD FGD
</t>
        </r>
      </text>
    </comment>
    <comment ref="D74" authorId="0">
      <text>
        <r>
          <rPr>
            <sz val="9"/>
            <color indexed="81"/>
            <rFont val="Tahoma"/>
            <family val="2"/>
          </rPr>
          <t>the additional cost of the low sulphur fuel  compared to the current coal, has to be included here. 5 e is just ised as example.</t>
        </r>
      </text>
    </comment>
    <comment ref="D215" authorId="0">
      <text>
        <r>
          <rPr>
            <sz val="9"/>
            <color indexed="81"/>
            <rFont val="Tahoma"/>
            <family val="2"/>
          </rPr>
          <t>The retrofit factor of FF is taken into account in sheet 
solid fuels_fabric_filter DSI (cell D83)</t>
        </r>
      </text>
    </comment>
  </commentList>
</comments>
</file>

<file path=xl/comments11.xml><?xml version="1.0" encoding="utf-8"?>
<comments xmlns="http://schemas.openxmlformats.org/spreadsheetml/2006/main">
  <authors>
    <author>Nadine NA. ALLEMAND</author>
  </authors>
  <commentList>
    <comment ref="D8" authorId="0">
      <text>
        <r>
          <rPr>
            <b/>
            <sz val="9"/>
            <color indexed="81"/>
            <rFont val="Tahoma"/>
            <family val="2"/>
          </rPr>
          <t>disposal costs or sale costs are calculated in the sheet solid fuel _deSO2</t>
        </r>
        <r>
          <rPr>
            <sz val="9"/>
            <color indexed="81"/>
            <rFont val="Tahoma"/>
            <family val="2"/>
          </rPr>
          <t xml:space="preserve">
</t>
        </r>
      </text>
    </comment>
    <comment ref="D17" authorId="0">
      <text>
        <r>
          <rPr>
            <b/>
            <sz val="9"/>
            <color indexed="81"/>
            <rFont val="Tahoma"/>
            <family val="2"/>
          </rPr>
          <t>Cannot be changed</t>
        </r>
        <r>
          <rPr>
            <sz val="9"/>
            <color indexed="81"/>
            <rFont val="Tahoma"/>
            <family val="2"/>
          </rPr>
          <t xml:space="preserve">
</t>
        </r>
      </text>
    </comment>
    <comment ref="D97" authorId="0">
      <text>
        <r>
          <rPr>
            <b/>
            <sz val="9"/>
            <color indexed="81"/>
            <rFont val="Tahoma"/>
            <family val="2"/>
          </rPr>
          <t>in sheet liquid fuel SO2</t>
        </r>
        <r>
          <rPr>
            <sz val="9"/>
            <color indexed="81"/>
            <rFont val="Tahoma"/>
            <family val="2"/>
          </rPr>
          <t xml:space="preserve">
</t>
        </r>
      </text>
    </comment>
  </commentList>
</comments>
</file>

<file path=xl/comments2.xml><?xml version="1.0" encoding="utf-8"?>
<comments xmlns="http://schemas.openxmlformats.org/spreadsheetml/2006/main">
  <authors>
    <author>beerbühl</author>
    <author>Tobias Zimmer</author>
  </authors>
  <commentList>
    <comment ref="D12" authorId="0">
      <text>
        <r>
          <rPr>
            <sz val="9"/>
            <color indexed="81"/>
            <rFont val="Tahoma"/>
            <family val="2"/>
          </rPr>
          <t>Choose the "new" boiler outlet emission according to your preferred technology. For guiding, see Reference Box "NOx Boiler Outlet Emissions According to Plant Technology".</t>
        </r>
      </text>
    </comment>
    <comment ref="D14" authorId="1">
      <text>
        <r>
          <rPr>
            <sz val="9"/>
            <color indexed="81"/>
            <rFont val="Tahoma"/>
            <family val="2"/>
          </rPr>
          <t>Gap closure between old boiler outlet emissions (spreadsheet emission calculation, cell D92) and new (retrofitted) boiler outlet emissions (cell D12) with respect to the corresponding ELV (cell D5).</t>
        </r>
      </text>
    </comment>
    <comment ref="D28" authorId="1">
      <text>
        <r>
          <rPr>
            <sz val="9"/>
            <color indexed="81"/>
            <rFont val="Tahoma"/>
            <family val="2"/>
          </rPr>
          <t>(Y) if you select ONE out of the two 2° abatement technologies, (N) if you select both. Please only select SCR or SNCR.</t>
        </r>
      </text>
    </comment>
  </commentList>
</comments>
</file>

<file path=xl/comments3.xml><?xml version="1.0" encoding="utf-8"?>
<comments xmlns="http://schemas.openxmlformats.org/spreadsheetml/2006/main">
  <authors>
    <author>beerbühl</author>
    <author>Simon Schulte Beerbühl</author>
  </authors>
  <commentList>
    <comment ref="D12" authorId="0">
      <text>
        <r>
          <rPr>
            <sz val="9"/>
            <color indexed="81"/>
            <rFont val="Tahoma"/>
            <family val="2"/>
          </rPr>
          <t>Choose the "new" boiler outlet emission according to your preferred technology. For guiding, see Reference Box "NOx Boiler Outlet Emissions According to Plant Technology".</t>
        </r>
      </text>
    </comment>
    <comment ref="D14" authorId="1">
      <text>
        <r>
          <rPr>
            <sz val="9"/>
            <color indexed="81"/>
            <rFont val="Tahoma"/>
            <family val="2"/>
          </rPr>
          <t>Gap closure between old boiler outlet emissions (spreadsheet emission calculation, cell D92) and new (retrofitted) boiler outlet emissions (cell D12) with respect to the corresponding ELV (cell D5).</t>
        </r>
      </text>
    </comment>
    <comment ref="D28" authorId="1">
      <text>
        <r>
          <rPr>
            <sz val="9"/>
            <color indexed="81"/>
            <rFont val="Tahoma"/>
            <family val="2"/>
          </rPr>
          <t>(Y) if you select ONE out of the two 2° abatement technologies, (N) if you select both. Please only select SCR or SNCR.</t>
        </r>
      </text>
    </comment>
  </commentList>
</comments>
</file>

<file path=xl/comments4.xml><?xml version="1.0" encoding="utf-8"?>
<comments xmlns="http://schemas.openxmlformats.org/spreadsheetml/2006/main">
  <authors>
    <author>beerbühl</author>
    <author>Tobias Zimmer</author>
    <author>Simon Schulte Beerbühl</author>
  </authors>
  <commentList>
    <comment ref="D12" authorId="0">
      <text>
        <r>
          <rPr>
            <sz val="9"/>
            <color indexed="81"/>
            <rFont val="Tahoma"/>
            <family val="2"/>
          </rPr>
          <t>Choose the "new" boiler outlet emission according to your preferred technology. For guiding, see Reference Box "NOx Boiler Outlet Emissions According to Plant Technology".</t>
        </r>
      </text>
    </comment>
    <comment ref="D14" authorId="1">
      <text>
        <r>
          <rPr>
            <sz val="9"/>
            <color indexed="81"/>
            <rFont val="Tahoma"/>
            <family val="2"/>
          </rPr>
          <t>Gap closure between old boiler outlet emissions (spreadsheet emission calculation, cell D92) and new (retrofitted) boiler outlet emissions (cell D12) with respect to the corresponding ELV (cell D5).</t>
        </r>
      </text>
    </comment>
    <comment ref="D19" authorId="2">
      <text>
        <r>
          <rPr>
            <sz val="9"/>
            <color indexed="81"/>
            <rFont val="Tahoma"/>
            <family val="2"/>
          </rPr>
          <t>No literature values could have been obtained</t>
        </r>
      </text>
    </comment>
    <comment ref="D28" authorId="1">
      <text>
        <r>
          <rPr>
            <sz val="9"/>
            <color indexed="81"/>
            <rFont val="Tahoma"/>
            <family val="2"/>
          </rPr>
          <t>(Y) if you select ONE out of the two 2° abatement technologies, (N) if you select both. Please only select SCR or SNCR.</t>
        </r>
      </text>
    </comment>
  </commentList>
</comments>
</file>

<file path=xl/comments5.xml><?xml version="1.0" encoding="utf-8"?>
<comments xmlns="http://schemas.openxmlformats.org/spreadsheetml/2006/main">
  <authors>
    <author>Nadine NA. ALLEMAND</author>
  </authors>
  <commentList>
    <comment ref="D8" authorId="0">
      <text>
        <r>
          <rPr>
            <sz val="9"/>
            <color indexed="81"/>
            <rFont val="Tahoma"/>
            <family val="2"/>
          </rPr>
          <t xml:space="preserve">A negative figure is input due to benefit in case of valorisation
</t>
        </r>
      </text>
    </comment>
  </commentList>
</comments>
</file>

<file path=xl/comments6.xml><?xml version="1.0" encoding="utf-8"?>
<comments xmlns="http://schemas.openxmlformats.org/spreadsheetml/2006/main">
  <authors>
    <author>Nadine NA. ALLEMAND</author>
  </authors>
  <commentList>
    <comment ref="D5" authorId="0">
      <text>
        <r>
          <rPr>
            <sz val="9"/>
            <color indexed="81"/>
            <rFont val="Tahoma"/>
            <family val="2"/>
          </rPr>
          <t xml:space="preserve">A negative figure is input due to benefit in case of valorisation
</t>
        </r>
      </text>
    </comment>
  </commentList>
</comments>
</file>

<file path=xl/comments7.xml><?xml version="1.0" encoding="utf-8"?>
<comments xmlns="http://schemas.openxmlformats.org/spreadsheetml/2006/main">
  <authors>
    <author>Nadine NA. ALLEMAND</author>
  </authors>
  <commentList>
    <comment ref="D5" authorId="0">
      <text>
        <r>
          <rPr>
            <sz val="9"/>
            <color indexed="81"/>
            <rFont val="Tahoma"/>
            <family val="2"/>
          </rPr>
          <t xml:space="preserve">A negative figure is input due to benefit in case of valorisation
</t>
        </r>
      </text>
    </comment>
  </commentList>
</comments>
</file>

<file path=xl/comments8.xml><?xml version="1.0" encoding="utf-8"?>
<comments xmlns="http://schemas.openxmlformats.org/spreadsheetml/2006/main">
  <authors>
    <author>Nadine NA. ALLEMAND</author>
    <author>beerbühl</author>
  </authors>
  <commentList>
    <comment ref="C16" authorId="0">
      <text>
        <r>
          <rPr>
            <sz val="9"/>
            <color indexed="81"/>
            <rFont val="Tahoma"/>
            <family val="2"/>
          </rPr>
          <t>Not yet developed</t>
        </r>
        <r>
          <rPr>
            <sz val="9"/>
            <color indexed="81"/>
            <rFont val="Tahoma"/>
            <family val="2"/>
          </rPr>
          <t xml:space="preserve">
</t>
        </r>
      </text>
    </comment>
    <comment ref="C19" authorId="0">
      <text>
        <r>
          <rPr>
            <sz val="9"/>
            <color indexed="81"/>
            <rFont val="Tahoma"/>
            <family val="2"/>
          </rPr>
          <t xml:space="preserve">By product from limestone
</t>
        </r>
      </text>
    </comment>
    <comment ref="D20" authorId="0">
      <text>
        <r>
          <rPr>
            <sz val="9"/>
            <color indexed="81"/>
            <rFont val="Tahoma"/>
            <family val="2"/>
          </rPr>
          <t>A negative figure is input due to benefit in case of valorisation,
In some cases, prices even for valorisation are positive (the plant operator has to pay). In that cases, the positive prices are filled in cell D21</t>
        </r>
      </text>
    </comment>
    <comment ref="C22" authorId="0">
      <text>
        <r>
          <rPr>
            <sz val="9"/>
            <color indexed="81"/>
            <rFont val="Tahoma"/>
            <family val="2"/>
          </rPr>
          <t xml:space="preserve">By-product from lime
</t>
        </r>
      </text>
    </comment>
    <comment ref="D23" authorId="0">
      <text>
        <r>
          <rPr>
            <sz val="9"/>
            <color indexed="81"/>
            <rFont val="Tahoma"/>
            <family val="2"/>
          </rPr>
          <t xml:space="preserve">A negative figure is input due to benefit in case of valorisation,
In some cases, prices even for valorisation are positive (the plant operator has to pay). In that cases, the positive prices are filled in cell D24
</t>
        </r>
      </text>
    </comment>
    <comment ref="D27" authorId="0">
      <text>
        <r>
          <rPr>
            <sz val="9"/>
            <color indexed="81"/>
            <rFont val="Tahoma"/>
            <family val="2"/>
          </rPr>
          <t xml:space="preserve">A negative figure is input due to benefit in case of valorisation,
In some cases, prices even for valorisation are positive (the plant operator has to pay). In that cases, the positive prices are filled in cell D28
</t>
        </r>
      </text>
    </comment>
    <comment ref="C29" authorId="0">
      <text>
        <r>
          <rPr>
            <sz val="9"/>
            <color indexed="81"/>
            <rFont val="Tahoma"/>
            <family val="2"/>
          </rPr>
          <t>Not yet developed</t>
        </r>
      </text>
    </comment>
    <comment ref="D36" authorId="1">
      <text>
        <r>
          <rPr>
            <sz val="9"/>
            <color indexed="81"/>
            <rFont val="Tahoma"/>
            <family val="2"/>
          </rPr>
          <t xml:space="preserve">Choose the sulphur content of the coal
</t>
        </r>
      </text>
    </comment>
    <comment ref="O43" authorId="0">
      <text>
        <r>
          <rPr>
            <sz val="9"/>
            <color indexed="81"/>
            <rFont val="Tahoma"/>
            <family val="2"/>
          </rPr>
          <t xml:space="preserve">Examples are missing but in most cases prices are negotiated 
</t>
        </r>
      </text>
    </comment>
    <comment ref="D44" authorId="0">
      <text>
        <r>
          <rPr>
            <sz val="9"/>
            <color indexed="81"/>
            <rFont val="Tahoma"/>
            <family val="2"/>
          </rPr>
          <t>You can test the 3 techniques but check your plant data and reduction efficiency required are in the range of use of the technique</t>
        </r>
        <r>
          <rPr>
            <b/>
            <sz val="9"/>
            <color indexed="81"/>
            <rFont val="Tahoma"/>
            <family val="2"/>
          </rPr>
          <t xml:space="preserve">
</t>
        </r>
        <r>
          <rPr>
            <sz val="9"/>
            <color indexed="81"/>
            <rFont val="Tahoma"/>
            <family val="2"/>
          </rPr>
          <t xml:space="preserve">
</t>
        </r>
      </text>
    </comment>
    <comment ref="D47" authorId="0">
      <text>
        <r>
          <rPr>
            <sz val="9"/>
            <color indexed="81"/>
            <rFont val="Tahoma"/>
            <family val="2"/>
          </rPr>
          <t xml:space="preserve">The new SO2 outlet emissions could be taken minus 15 % of the target to take into account a margin of uncertainty
</t>
        </r>
      </text>
    </comment>
    <comment ref="D50" authorId="0">
      <text>
        <r>
          <rPr>
            <sz val="9"/>
            <color indexed="81"/>
            <rFont val="Tahoma"/>
            <family val="2"/>
          </rPr>
          <t xml:space="preserve">To be considered only for LSFO FGD and LSD FGD
</t>
        </r>
      </text>
    </comment>
    <comment ref="D74" authorId="0">
      <text>
        <r>
          <rPr>
            <sz val="9"/>
            <color indexed="81"/>
            <rFont val="Tahoma"/>
            <family val="2"/>
          </rPr>
          <t xml:space="preserve">the additional cost of the low sulphur fuel  compared to the current coal, has to be included here. The 5 € per ton is for example but has to be confirmed. 
</t>
        </r>
      </text>
    </comment>
    <comment ref="D215" authorId="0">
      <text>
        <r>
          <rPr>
            <sz val="9"/>
            <color indexed="81"/>
            <rFont val="Tahoma"/>
            <family val="2"/>
          </rPr>
          <t>The retrofit factor of FF is taken into account in sheet 
solid fuels_fabric_filter DSI (cell D83)</t>
        </r>
      </text>
    </comment>
  </commentList>
</comments>
</file>

<file path=xl/comments9.xml><?xml version="1.0" encoding="utf-8"?>
<comments xmlns="http://schemas.openxmlformats.org/spreadsheetml/2006/main">
  <authors>
    <author>Nadine NA. ALLEMAND</author>
  </authors>
  <commentList>
    <comment ref="D8" authorId="0">
      <text>
        <r>
          <rPr>
            <b/>
            <sz val="9"/>
            <color indexed="81"/>
            <rFont val="Tahoma"/>
            <family val="2"/>
          </rPr>
          <t>disposal costs or sale costs are calculated in the sheet solid fuel _deSO2</t>
        </r>
        <r>
          <rPr>
            <sz val="9"/>
            <color indexed="81"/>
            <rFont val="Tahoma"/>
            <family val="2"/>
          </rPr>
          <t xml:space="preserve">
</t>
        </r>
      </text>
    </comment>
    <comment ref="D17" authorId="0">
      <text>
        <r>
          <rPr>
            <b/>
            <sz val="9"/>
            <color indexed="81"/>
            <rFont val="Tahoma"/>
            <family val="2"/>
          </rPr>
          <t>Cannot be changed</t>
        </r>
        <r>
          <rPr>
            <sz val="9"/>
            <color indexed="81"/>
            <rFont val="Tahoma"/>
            <family val="2"/>
          </rPr>
          <t xml:space="preserve">
</t>
        </r>
      </text>
    </comment>
  </commentList>
</comments>
</file>

<file path=xl/sharedStrings.xml><?xml version="1.0" encoding="utf-8"?>
<sst xmlns="http://schemas.openxmlformats.org/spreadsheetml/2006/main" count="4746" uniqueCount="1280">
  <si>
    <t>Boilers and Process Heaters</t>
  </si>
  <si>
    <t>Origin</t>
  </si>
  <si>
    <t>Cerrejon</t>
  </si>
  <si>
    <t>Middelburg</t>
  </si>
  <si>
    <t>APC</t>
  </si>
  <si>
    <t>Bachatsky</t>
  </si>
  <si>
    <t>Australia</t>
  </si>
  <si>
    <t>South Africa</t>
  </si>
  <si>
    <t>Russia</t>
  </si>
  <si>
    <t>Bailey</t>
  </si>
  <si>
    <t>Blackwater</t>
  </si>
  <si>
    <t>Douglas</t>
  </si>
  <si>
    <t>Elandsfontein</t>
  </si>
  <si>
    <t>Kleinkopje</t>
  </si>
  <si>
    <t>Kromdraai</t>
  </si>
  <si>
    <t>USA</t>
  </si>
  <si>
    <t>mbar</t>
  </si>
  <si>
    <t>Injection &amp; Mixing</t>
  </si>
  <si>
    <t>Catalyst Layer</t>
  </si>
  <si>
    <t>No. Of catalyst layers</t>
  </si>
  <si>
    <t>Wh/mbar*Nm³</t>
  </si>
  <si>
    <t>Maximum Achievable SNCR Reduction Rates</t>
  </si>
  <si>
    <t>Plant Size</t>
  </si>
  <si>
    <t>Max. Reduction</t>
  </si>
  <si>
    <t>&lt; 100 MWth</t>
  </si>
  <si>
    <t>100 - 300 MWth</t>
  </si>
  <si>
    <t>300 - 500 MWth</t>
  </si>
  <si>
    <t>500 - 700 MWth</t>
  </si>
  <si>
    <t>&gt; 700 MWth</t>
  </si>
  <si>
    <t>Broad Biomass Composition</t>
  </si>
  <si>
    <t>Fixed O&amp;M Costs</t>
  </si>
  <si>
    <t>of total Investment</t>
  </si>
  <si>
    <t>years</t>
  </si>
  <si>
    <t>Operating Costs</t>
  </si>
  <si>
    <t>Capital Cost p.a.</t>
  </si>
  <si>
    <t>Capital Recovery Factor</t>
  </si>
  <si>
    <t>Total Costs p. a.</t>
  </si>
  <si>
    <t>spec. NOx reduction costs</t>
  </si>
  <si>
    <t>€/t</t>
  </si>
  <si>
    <t>SCR (Y/N)</t>
  </si>
  <si>
    <t>NH3 (Y/N)</t>
  </si>
  <si>
    <t>Urea (Y/N)</t>
  </si>
  <si>
    <t>SR</t>
  </si>
  <si>
    <t>SNCR</t>
  </si>
  <si>
    <t>y</t>
  </si>
  <si>
    <t>Utility costs</t>
  </si>
  <si>
    <t>Urea</t>
  </si>
  <si>
    <t>Electricity</t>
  </si>
  <si>
    <t>€/MWh</t>
  </si>
  <si>
    <t>reagent cost</t>
  </si>
  <si>
    <t>reagent consumption</t>
  </si>
  <si>
    <t>pressure drop cons.</t>
  </si>
  <si>
    <t>MWh/h</t>
  </si>
  <si>
    <t>utility electricity cost</t>
  </si>
  <si>
    <t>utility electricity consumption</t>
  </si>
  <si>
    <t>MWh/Mio. Nm³</t>
  </si>
  <si>
    <t>pressure drop cost</t>
  </si>
  <si>
    <t>spec. NOx reduction cost</t>
  </si>
  <si>
    <t>Capital Costs</t>
  </si>
  <si>
    <t>Biomass Composition Input for Fuel Specification</t>
  </si>
  <si>
    <t>Fuel mass input (full load)</t>
  </si>
  <si>
    <t>Reduction achieved with 1°</t>
  </si>
  <si>
    <t>Reduction required with 2°</t>
  </si>
  <si>
    <t>Yes/No</t>
  </si>
  <si>
    <t>Total reduction achieved</t>
  </si>
  <si>
    <t>600-800</t>
  </si>
  <si>
    <t>300-400</t>
  </si>
  <si>
    <t>500-600</t>
  </si>
  <si>
    <t>400-500</t>
  </si>
  <si>
    <t>350-400</t>
  </si>
  <si>
    <t>200-300</t>
  </si>
  <si>
    <t>150-200</t>
  </si>
  <si>
    <t>C</t>
  </si>
  <si>
    <t>O</t>
  </si>
  <si>
    <t>Ca</t>
  </si>
  <si>
    <t>Hard Coal / Bituminous Coal</t>
  </si>
  <si>
    <t>Lignite</t>
  </si>
  <si>
    <t>Wall-Fired</t>
  </si>
  <si>
    <t>Tangentially-Fired</t>
  </si>
  <si>
    <t>1st Gen. LNB</t>
  </si>
  <si>
    <t>2nd Gen. LNB</t>
  </si>
  <si>
    <t>3rd Gen. LNB</t>
  </si>
  <si>
    <t>Detailed Coal Composition</t>
  </si>
  <si>
    <t>Mass-%, abs</t>
  </si>
  <si>
    <t>Mass-%, waf.</t>
  </si>
  <si>
    <t>Y/N</t>
  </si>
  <si>
    <t>Broad Coal Composition</t>
  </si>
  <si>
    <t>%</t>
  </si>
  <si>
    <t>of 8760 h/a</t>
  </si>
  <si>
    <t>MJ/kg LHV</t>
  </si>
  <si>
    <t>% (LHV)</t>
  </si>
  <si>
    <t>% Ash</t>
  </si>
  <si>
    <t xml:space="preserve">C </t>
  </si>
  <si>
    <t>H</t>
  </si>
  <si>
    <t xml:space="preserve">O </t>
  </si>
  <si>
    <t>N</t>
  </si>
  <si>
    <t>S</t>
  </si>
  <si>
    <t>Ash</t>
  </si>
  <si>
    <t>Moisture</t>
  </si>
  <si>
    <t>Mass percentages, water and ash free (waf)</t>
  </si>
  <si>
    <t>MJ/kg</t>
  </si>
  <si>
    <t>Nm³/kg Coal</t>
  </si>
  <si>
    <t>% Sulphur w/w</t>
  </si>
  <si>
    <t>% of total sulphur</t>
  </si>
  <si>
    <t>% of total ash</t>
  </si>
  <si>
    <t>Ash-retained-in-Boiler</t>
  </si>
  <si>
    <t>S-retained-in-Boiler</t>
  </si>
  <si>
    <t>Input (either % or h/a)</t>
  </si>
  <si>
    <t>Resulting capacity factor</t>
  </si>
  <si>
    <t>% Sulphur w/w waf</t>
  </si>
  <si>
    <t>% Moisture</t>
  </si>
  <si>
    <t>NOx Emissions</t>
  </si>
  <si>
    <t>Primary Measures</t>
  </si>
  <si>
    <t>spec. NOx emissions saved</t>
  </si>
  <si>
    <t>total NOx emissions saved</t>
  </si>
  <si>
    <t>t/a</t>
  </si>
  <si>
    <t>Secondary Measures</t>
  </si>
  <si>
    <t>New NOx outlet emissions</t>
  </si>
  <si>
    <t>Summary</t>
  </si>
  <si>
    <t>thereof 1° measures</t>
  </si>
  <si>
    <t>thereof 2° measures</t>
  </si>
  <si>
    <t>Share</t>
  </si>
  <si>
    <t>NOx emissions saved</t>
  </si>
  <si>
    <t>€</t>
  </si>
  <si>
    <t>Spec. Equipment Investment</t>
  </si>
  <si>
    <t>Total Investment</t>
  </si>
  <si>
    <t>€/a</t>
  </si>
  <si>
    <t>Baseload I</t>
  </si>
  <si>
    <t>&gt; 7,000 h/a</t>
  </si>
  <si>
    <t>Baseload II</t>
  </si>
  <si>
    <t>5,000 - 7,000 h/a</t>
  </si>
  <si>
    <t>Medium Load</t>
  </si>
  <si>
    <t>2,000 - 5,000 h/a</t>
  </si>
  <si>
    <t>&lt; 2,000 h/a</t>
  </si>
  <si>
    <t>Source: Strauß, Kraftwerkstechnik</t>
  </si>
  <si>
    <t xml:space="preserve">Sources:   </t>
  </si>
  <si>
    <t>US EPA: Air Pollution Control Cost Manual, 2002</t>
  </si>
  <si>
    <t>EPRI: SNCR Guidelines Update, 2004</t>
  </si>
  <si>
    <t>Rentz: Emission Control at Stationary Sources in the Federal Republic of Germany, 1996</t>
  </si>
  <si>
    <t>SCR</t>
  </si>
  <si>
    <t>1.5-2.0</t>
  </si>
  <si>
    <t>n</t>
  </si>
  <si>
    <t>annualised catalyst costs</t>
  </si>
  <si>
    <t>Min</t>
  </si>
  <si>
    <t>Max</t>
  </si>
  <si>
    <t>Unit</t>
  </si>
  <si>
    <t>Spec. Cat. Requirement</t>
  </si>
  <si>
    <t>m³/MWth</t>
  </si>
  <si>
    <t>Total Cat. Lifetime</t>
  </si>
  <si>
    <t>h</t>
  </si>
  <si>
    <t>No. Of cat. Regenerations</t>
  </si>
  <si>
    <t>Spec. Cat. Cost</t>
  </si>
  <si>
    <t>€/m³</t>
  </si>
  <si>
    <t>Spec. Cat. Regeneration Cost</t>
  </si>
  <si>
    <t xml:space="preserve">Spec. Cat. Volume </t>
  </si>
  <si>
    <t>Total Cat. Volume</t>
  </si>
  <si>
    <t xml:space="preserve">m³ </t>
  </si>
  <si>
    <t>Cat. Lifetime acc. To operating regime</t>
  </si>
  <si>
    <t>a</t>
  </si>
  <si>
    <t>Annualised catalyst cost</t>
  </si>
  <si>
    <t>Coal Fuel Spec. Used:</t>
  </si>
  <si>
    <t>Ammonia</t>
  </si>
  <si>
    <t>Substances</t>
  </si>
  <si>
    <t>Elements</t>
  </si>
  <si>
    <t>Biomass Fuel Spec. Used</t>
  </si>
  <si>
    <t>Co-Firing Fuel Spec. Used</t>
  </si>
  <si>
    <t>Biomass share</t>
  </si>
  <si>
    <t>Wood type</t>
  </si>
  <si>
    <t>﻿Hybrid poplar</t>
  </si>
  <si>
    <t>Poplar,DN</t>
  </si>
  <si>
    <t>Hybrid poplar II</t>
  </si>
  <si>
    <t>-</t>
  </si>
  <si>
    <t>Hybrid poplar DN34</t>
  </si>
  <si>
    <t>p.deltoides, Stoneville 66</t>
  </si>
  <si>
    <t>corn stover</t>
  </si>
  <si>
    <t>switchgrass</t>
  </si>
  <si>
    <t>wheatstraw</t>
  </si>
  <si>
    <t>ponderosa pine</t>
  </si>
  <si>
    <t xml:space="preserve"> Composition of exemplary coals (water and ash free, waf)</t>
  </si>
  <si>
    <t>Colour Guide</t>
  </si>
  <si>
    <t>Input Data</t>
  </si>
  <si>
    <t>Results</t>
  </si>
  <si>
    <t>Depending on storage</t>
  </si>
  <si>
    <t>EGTEI Questionnaires 2012</t>
  </si>
  <si>
    <t>Economic Analysis</t>
  </si>
  <si>
    <t>0.8-0.9</t>
  </si>
  <si>
    <t>Conversion:</t>
  </si>
  <si>
    <t>JEP</t>
  </si>
  <si>
    <t>LNB+SNCR</t>
  </si>
  <si>
    <t>EUR / kWe</t>
  </si>
  <si>
    <t>EUR / kWth</t>
  </si>
  <si>
    <t>UK</t>
  </si>
  <si>
    <t>US</t>
  </si>
  <si>
    <t>EUR:GBP</t>
  </si>
  <si>
    <t>USD:EUR</t>
  </si>
  <si>
    <t xml:space="preserve">Nalbandian (IEA): </t>
  </si>
  <si>
    <t xml:space="preserve">Brandwood (JEP): </t>
  </si>
  <si>
    <t>Orignial Source</t>
  </si>
  <si>
    <t xml:space="preserve">Given Literature Values </t>
  </si>
  <si>
    <t>Currency</t>
  </si>
  <si>
    <t>Conversion with currency exchange rate of author at given date into EUR, time conversion with CEPCI to 2010 afterwards</t>
  </si>
  <si>
    <t>Exchange Rate</t>
  </si>
  <si>
    <t>Date</t>
  </si>
  <si>
    <t>Reporting Country</t>
  </si>
  <si>
    <t>Barmor, 2006</t>
  </si>
  <si>
    <t>Plant Electric Efficiency</t>
  </si>
  <si>
    <t>Conversion kWe -&gt; kWth</t>
  </si>
  <si>
    <t>IEA</t>
  </si>
  <si>
    <t xml:space="preserve">LNB </t>
  </si>
  <si>
    <t>Country</t>
  </si>
  <si>
    <t>GBP/kWe</t>
  </si>
  <si>
    <t>EUR/kWth</t>
  </si>
  <si>
    <t>Greece</t>
  </si>
  <si>
    <t>Orfanoudakis, 2005</t>
  </si>
  <si>
    <t>Cost Year</t>
  </si>
  <si>
    <t>CEPCI Factors</t>
  </si>
  <si>
    <t>Factor</t>
  </si>
  <si>
    <t>CEPCI Value</t>
  </si>
  <si>
    <t>LNB</t>
  </si>
  <si>
    <t>USD/kWe</t>
  </si>
  <si>
    <t>Canada</t>
  </si>
  <si>
    <t>Suppl. Info</t>
  </si>
  <si>
    <t>High End: OFA</t>
  </si>
  <si>
    <t>Schneck, 2003</t>
  </si>
  <si>
    <t>Complicated</t>
  </si>
  <si>
    <t>Literature Survey</t>
  </si>
  <si>
    <t>EUR/kWe</t>
  </si>
  <si>
    <t>France</t>
  </si>
  <si>
    <t>low eff.  to high eff. SCR</t>
  </si>
  <si>
    <t>US EPA Cost Methodology</t>
  </si>
  <si>
    <t>US EPA, 2002</t>
  </si>
  <si>
    <t>Average 110 USD/kWe</t>
  </si>
  <si>
    <t>US DOE, 2005</t>
  </si>
  <si>
    <t>Morris, 2003</t>
  </si>
  <si>
    <t>Total Average LNB</t>
  </si>
  <si>
    <t>Total Average SCR</t>
  </si>
  <si>
    <t>EUR 2010</t>
  </si>
  <si>
    <t>Total Average SNCR</t>
  </si>
  <si>
    <t xml:space="preserve">JEP </t>
  </si>
  <si>
    <t>SNCR recalculated by subtracting the LNB average from LNB+SNCR Investment of Barmor, 2006</t>
  </si>
  <si>
    <t>Basic Assumptions</t>
  </si>
  <si>
    <t>%-Vol.</t>
  </si>
  <si>
    <t>Depreciation time</t>
  </si>
  <si>
    <t xml:space="preserve">% p. a. </t>
  </si>
  <si>
    <t>Chemical Data</t>
  </si>
  <si>
    <t>Plant Characteristics</t>
  </si>
  <si>
    <t>For guidance, see Reference Box</t>
  </si>
  <si>
    <t>Please enter the appropriate NOx boiler outlet emission concentration</t>
  </si>
  <si>
    <t>% w/w in ash</t>
  </si>
  <si>
    <t>Boiler and Fuel Characteristics</t>
  </si>
  <si>
    <t>Boiler Characteristics</t>
  </si>
  <si>
    <t>Operating Characteristics</t>
  </si>
  <si>
    <t>Coal share</t>
  </si>
  <si>
    <t>Biomass Co-Firing</t>
  </si>
  <si>
    <t>% w/w</t>
  </si>
  <si>
    <t>Capacity Factor Classification</t>
  </si>
  <si>
    <t>Broad Fuel Composition</t>
  </si>
  <si>
    <t>Please indicate, whether you want to use broad or detailed fuel input data</t>
  </si>
  <si>
    <t>Coal</t>
  </si>
  <si>
    <t>Biomass (if co-firing)</t>
  </si>
  <si>
    <t xml:space="preserve"> Composition of exemplary biomass (water and ash free, waf)</t>
  </si>
  <si>
    <t>SCR excl Inj., Mix. &amp; Cat.</t>
  </si>
  <si>
    <t>Pressure Drop for SCR/SNCR</t>
  </si>
  <si>
    <t xml:space="preserve"> Detailed Fuel Composition</t>
  </si>
  <si>
    <t>Ratio</t>
  </si>
  <si>
    <t>Parameter</t>
  </si>
  <si>
    <t>Value</t>
  </si>
  <si>
    <t>For Illustration:</t>
  </si>
  <si>
    <t>Biomass co-firing share (LHV-based)</t>
  </si>
  <si>
    <t>t/h fuel</t>
  </si>
  <si>
    <t>% LHV/LHV</t>
  </si>
  <si>
    <t>d (detailed) / b (broad)</t>
  </si>
  <si>
    <t>Details on NOx Pollutant Abatement Techniques</t>
  </si>
  <si>
    <t>Which NOx emission goal (at stack) do you want to achieve?</t>
  </si>
  <si>
    <t>Current %-Gap to goal</t>
  </si>
  <si>
    <t>Do you want to upgrade 1° measures?</t>
  </si>
  <si>
    <t xml:space="preserve">New NOx Boiler Outlet Emission </t>
  </si>
  <si>
    <t>Do you want to install SNCR?</t>
  </si>
  <si>
    <t>Y</t>
  </si>
  <si>
    <t>SCR Efficiency</t>
  </si>
  <si>
    <t>SCR outlet emissions</t>
  </si>
  <si>
    <t>Degree of Over-Achievement to ELV</t>
  </si>
  <si>
    <t>Spec. Equipment Investment (see Ref. Box)</t>
  </si>
  <si>
    <t>Secondary Measures - SNCR (if SNCR = Y)</t>
  </si>
  <si>
    <t>Secondary Measures - SCR (if SCR = Y)</t>
  </si>
  <si>
    <t>share capital costs to total costs</t>
  </si>
  <si>
    <t>share operating costs to total costs</t>
  </si>
  <si>
    <t>Stoiciometric Ratio (Literature)</t>
  </si>
  <si>
    <t>No. of References</t>
  </si>
  <si>
    <t>see above for guidance</t>
  </si>
  <si>
    <t>Catalyst Cost Calculation Box (see above for guidance)</t>
  </si>
  <si>
    <t>Reference Box Utilities - Literature data</t>
  </si>
  <si>
    <t>Catalyst Cost &amp; Design Data for Hard Coal Fired Units</t>
  </si>
  <si>
    <t>Operating Costs (incl. Catalyst Costs) p. a.</t>
  </si>
  <si>
    <t xml:space="preserve">Operating Costs p. a. </t>
  </si>
  <si>
    <t>Reference Box - Calculated Utilities</t>
  </si>
  <si>
    <t>Survey Data (see spreadsheet)</t>
  </si>
  <si>
    <t>Survey Data - lower end</t>
  </si>
  <si>
    <t>Survey Data - upper end</t>
  </si>
  <si>
    <t>Reference Box - Investment Data (in EUR/kWth 2010)</t>
  </si>
  <si>
    <t>n/a</t>
  </si>
  <si>
    <t>Lower</t>
  </si>
  <si>
    <t>Upper</t>
  </si>
  <si>
    <t>€/kWth</t>
  </si>
  <si>
    <t>See "Reference Box - Investment Data"</t>
  </si>
  <si>
    <t>See "Reference Box - Utilities" and "Reference Box - Utility Calculation"</t>
  </si>
  <si>
    <t>See "Reference Box - SNCR Efficiency" and "Reference Box - SCR Efficiency"</t>
  </si>
  <si>
    <t>Reference Box - SNCR Efficiency</t>
  </si>
  <si>
    <t>Reference Box - SCR Efficiency</t>
  </si>
  <si>
    <t>Typical NOx values post-SCR for the current SCR inlet values</t>
  </si>
  <si>
    <t>NOx at SCR inlet</t>
  </si>
  <si>
    <t>Old EGTEI Cost Function</t>
  </si>
  <si>
    <t>Constant</t>
  </si>
  <si>
    <t>Linear Factor</t>
  </si>
  <si>
    <t>[1000 EUR]</t>
  </si>
  <si>
    <t>[EUR/kWth]</t>
  </si>
  <si>
    <t>Retrofit Factor</t>
  </si>
  <si>
    <t>Year Factor 2000 -&gt; 2010</t>
  </si>
  <si>
    <t>Total Investment at</t>
  </si>
  <si>
    <t>Old EGTEI function - new plant</t>
  </si>
  <si>
    <t>Old EGTEI function - retrofit</t>
  </si>
  <si>
    <t>MWth (in Mio. EUR)</t>
  </si>
  <si>
    <t>Plant Characteristics - Reference Boxes</t>
  </si>
  <si>
    <t>Chemical Data - Reference Boxes</t>
  </si>
  <si>
    <t>Operating Characteristics - Reference Boxes</t>
  </si>
  <si>
    <t>Boiler and Fuel Characteristics - Reference Boxes</t>
  </si>
  <si>
    <t xml:space="preserve"> Detailed Fuel Composition - Reference Boxes</t>
  </si>
  <si>
    <t>Details on NOx Pollutant Abatement Techniques - Reference Boxes</t>
  </si>
  <si>
    <t>Economic Analysis - Reference Boxes</t>
  </si>
  <si>
    <t>see Reference Box Excess Air</t>
  </si>
  <si>
    <t>Nm³/kg Biomass</t>
  </si>
  <si>
    <t xml:space="preserve">Capacity Factor (full load hours) </t>
  </si>
  <si>
    <t>Stoichiometric Ratio</t>
  </si>
  <si>
    <t>Investment Data (Background Information)</t>
  </si>
  <si>
    <t xml:space="preserve">SCR </t>
  </si>
  <si>
    <t>kg/Nm³</t>
  </si>
  <si>
    <t>Nm³ Excess Air/kg Coal</t>
  </si>
  <si>
    <t>Nm³ Flue Gas,wet,λ /kg Coal</t>
  </si>
  <si>
    <t>Nm³ Flue Gas,wet,λ / year</t>
  </si>
  <si>
    <t>Nm³ Flue Gas,dry,λ / year</t>
  </si>
  <si>
    <t>Nm³ Flue Gas,wet,λ /kg Biomass</t>
  </si>
  <si>
    <t>Nm³ flue gas,dry,λ / kg Coal</t>
  </si>
  <si>
    <t>Nm³ flue gas,dry,λ / kg Biomass</t>
  </si>
  <si>
    <t>Nm³ Flue Gas,wet,λ /kg Fuel</t>
  </si>
  <si>
    <t>Nm³ flue gas,dry,λ / kg Fuel</t>
  </si>
  <si>
    <t>Nm³ Flue Gas, stoich, wet/kg Biomass</t>
  </si>
  <si>
    <t>Nm³ Flue Gas, λ, dry/kg Biomass</t>
  </si>
  <si>
    <t>Nm³ Flue Gas, stoich, wet/kg Coal</t>
  </si>
  <si>
    <t>Nm³ Flue Gas, λ, dry/kg Coal</t>
  </si>
  <si>
    <t>Nm³ moisture/kg Coal</t>
  </si>
  <si>
    <t>Nm³ Excess Air/kg Biomass</t>
  </si>
  <si>
    <t>Nm³ moisture/kg Biomass</t>
  </si>
  <si>
    <t>b</t>
  </si>
  <si>
    <t>Oil</t>
  </si>
  <si>
    <t>Gas</t>
  </si>
  <si>
    <t>dry bottom</t>
  </si>
  <si>
    <t>wet bottom</t>
  </si>
  <si>
    <t>grate</t>
  </si>
  <si>
    <t>1.03-1.15</t>
  </si>
  <si>
    <t>1.05-1.10</t>
  </si>
  <si>
    <t>1.2-1.3</t>
  </si>
  <si>
    <t>1.15-1.25</t>
  </si>
  <si>
    <t>1.3-1.4</t>
  </si>
  <si>
    <t>Ref. O2 content [O2,ref.]</t>
  </si>
  <si>
    <r>
      <t>Molar masses M</t>
    </r>
    <r>
      <rPr>
        <b/>
        <u/>
        <vertAlign val="subscript"/>
        <sz val="11"/>
        <color theme="1"/>
        <rFont val="Arial"/>
        <family val="2"/>
      </rPr>
      <t>i</t>
    </r>
    <r>
      <rPr>
        <b/>
        <u/>
        <sz val="11"/>
        <color theme="1"/>
        <rFont val="Arial"/>
        <family val="2"/>
      </rPr>
      <t xml:space="preserve"> [kg/kmol]</t>
    </r>
  </si>
  <si>
    <r>
      <t>Thermal Capacity [bs</t>
    </r>
    <r>
      <rPr>
        <vertAlign val="superscript"/>
        <sz val="11"/>
        <color theme="1"/>
        <rFont val="Arial"/>
        <family val="2"/>
      </rPr>
      <t>th</t>
    </r>
    <r>
      <rPr>
        <sz val="11"/>
        <color theme="1"/>
        <rFont val="Arial"/>
        <family val="2"/>
      </rPr>
      <t>]</t>
    </r>
  </si>
  <si>
    <r>
      <t>MW</t>
    </r>
    <r>
      <rPr>
        <vertAlign val="subscript"/>
        <sz val="11"/>
        <color theme="1"/>
        <rFont val="Arial"/>
        <family val="2"/>
      </rPr>
      <t>th</t>
    </r>
  </si>
  <si>
    <r>
      <t>Carbon in Ash [x</t>
    </r>
    <r>
      <rPr>
        <vertAlign val="subscript"/>
        <sz val="11"/>
        <color theme="1"/>
        <rFont val="Arial"/>
        <family val="2"/>
      </rPr>
      <t>cia</t>
    </r>
    <r>
      <rPr>
        <sz val="11"/>
        <color theme="1"/>
        <rFont val="Arial"/>
        <family val="2"/>
      </rPr>
      <t>]</t>
    </r>
  </si>
  <si>
    <r>
      <t>Sulphur mass fraction [x</t>
    </r>
    <r>
      <rPr>
        <vertAlign val="subscript"/>
        <sz val="11"/>
        <color theme="1"/>
        <rFont val="Arial"/>
        <family val="2"/>
      </rPr>
      <t>S</t>
    </r>
    <r>
      <rPr>
        <sz val="11"/>
        <color theme="1"/>
        <rFont val="Arial"/>
        <family val="2"/>
      </rPr>
      <t>]</t>
    </r>
  </si>
  <si>
    <r>
      <t>Ash mass fraction [x</t>
    </r>
    <r>
      <rPr>
        <vertAlign val="subscript"/>
        <sz val="11"/>
        <color theme="1"/>
        <rFont val="Arial"/>
        <family val="2"/>
      </rPr>
      <t>ash</t>
    </r>
    <r>
      <rPr>
        <sz val="11"/>
        <color theme="1"/>
        <rFont val="Arial"/>
        <family val="2"/>
      </rPr>
      <t>]</t>
    </r>
  </si>
  <si>
    <r>
      <t>Moisture mass fraction [x</t>
    </r>
    <r>
      <rPr>
        <vertAlign val="subscript"/>
        <sz val="11"/>
        <color theme="1"/>
        <rFont val="Arial"/>
        <family val="2"/>
      </rPr>
      <t>moist</t>
    </r>
    <r>
      <rPr>
        <sz val="11"/>
        <color theme="1"/>
        <rFont val="Arial"/>
        <family val="2"/>
      </rPr>
      <t>]</t>
    </r>
  </si>
  <si>
    <r>
      <t>Spec. stoich. wet flue gas volume [v</t>
    </r>
    <r>
      <rPr>
        <vertAlign val="superscript"/>
        <sz val="11"/>
        <color theme="1"/>
        <rFont val="Arial"/>
        <family val="2"/>
      </rPr>
      <t>flue gas</t>
    </r>
    <r>
      <rPr>
        <vertAlign val="subscript"/>
        <sz val="11"/>
        <color theme="1"/>
        <rFont val="Arial"/>
        <family val="2"/>
      </rPr>
      <t>stoich,wet</t>
    </r>
    <r>
      <rPr>
        <sz val="11"/>
        <color theme="1"/>
        <rFont val="Arial"/>
        <family val="2"/>
      </rPr>
      <t>]</t>
    </r>
  </si>
  <si>
    <r>
      <t>Spec. excess air volume [v</t>
    </r>
    <r>
      <rPr>
        <vertAlign val="superscript"/>
        <sz val="11"/>
        <color theme="1"/>
        <rFont val="Arial"/>
        <family val="2"/>
      </rPr>
      <t>air</t>
    </r>
    <r>
      <rPr>
        <vertAlign val="subscript"/>
        <sz val="11"/>
        <color theme="1"/>
        <rFont val="Arial"/>
        <family val="2"/>
      </rPr>
      <t>stoich,dry</t>
    </r>
    <r>
      <rPr>
        <sz val="11"/>
        <color theme="1"/>
        <rFont val="Arial"/>
        <family val="2"/>
      </rPr>
      <t>]</t>
    </r>
  </si>
  <si>
    <r>
      <t>Spec. moisture volume [v</t>
    </r>
    <r>
      <rPr>
        <vertAlign val="superscript"/>
        <sz val="11"/>
        <color theme="1"/>
        <rFont val="Arial"/>
        <family val="2"/>
      </rPr>
      <t>moisture</t>
    </r>
    <r>
      <rPr>
        <sz val="11"/>
        <color theme="1"/>
        <rFont val="Arial"/>
        <family val="2"/>
      </rPr>
      <t>]</t>
    </r>
  </si>
  <si>
    <r>
      <t>Oxygen concentration [c</t>
    </r>
    <r>
      <rPr>
        <vertAlign val="subscript"/>
        <sz val="11"/>
        <color theme="1"/>
        <rFont val="Arial"/>
        <family val="2"/>
      </rPr>
      <t>O2,act</t>
    </r>
    <r>
      <rPr>
        <sz val="11"/>
        <color theme="1"/>
        <rFont val="Arial"/>
        <family val="2"/>
      </rPr>
      <t>]</t>
    </r>
  </si>
  <si>
    <r>
      <t>Oxygen correction factor [f</t>
    </r>
    <r>
      <rPr>
        <vertAlign val="subscript"/>
        <sz val="11"/>
        <color theme="1"/>
        <rFont val="Arial"/>
        <family val="2"/>
      </rPr>
      <t>O2,corr</t>
    </r>
    <r>
      <rPr>
        <sz val="11"/>
        <color theme="1"/>
        <rFont val="Arial"/>
        <family val="2"/>
      </rPr>
      <t>]</t>
    </r>
  </si>
  <si>
    <r>
      <t>Mass-%, abs. [x</t>
    </r>
    <r>
      <rPr>
        <vertAlign val="subscript"/>
        <sz val="11"/>
        <color theme="1"/>
        <rFont val="Arial"/>
        <family val="2"/>
      </rPr>
      <t>i,abs</t>
    </r>
    <r>
      <rPr>
        <sz val="11"/>
        <color theme="1"/>
        <rFont val="Arial"/>
        <family val="2"/>
      </rPr>
      <t>]</t>
    </r>
  </si>
  <si>
    <r>
      <t>Mass-%, waf. [x</t>
    </r>
    <r>
      <rPr>
        <vertAlign val="subscript"/>
        <sz val="11"/>
        <color theme="1"/>
        <rFont val="Arial"/>
        <family val="2"/>
      </rPr>
      <t>i,waf</t>
    </r>
    <r>
      <rPr>
        <sz val="11"/>
        <color theme="1"/>
        <rFont val="Arial"/>
        <family val="2"/>
      </rPr>
      <t>]</t>
    </r>
  </si>
  <si>
    <r>
      <t>Lower Heating Value [LHV</t>
    </r>
    <r>
      <rPr>
        <vertAlign val="superscript"/>
        <sz val="11"/>
        <color theme="1"/>
        <rFont val="Arial"/>
        <family val="2"/>
      </rPr>
      <t>fuel</t>
    </r>
    <r>
      <rPr>
        <sz val="11"/>
        <color theme="1"/>
        <rFont val="Arial"/>
        <family val="2"/>
      </rPr>
      <t>]</t>
    </r>
  </si>
  <si>
    <r>
      <t>Spec. moisture volume (Nm³/kg fuel) [v</t>
    </r>
    <r>
      <rPr>
        <vertAlign val="superscript"/>
        <sz val="11"/>
        <color theme="1"/>
        <rFont val="Arial"/>
        <family val="2"/>
      </rPr>
      <t>moisture</t>
    </r>
    <r>
      <rPr>
        <sz val="11"/>
        <color theme="1"/>
        <rFont val="Arial"/>
        <family val="2"/>
      </rPr>
      <t>]</t>
    </r>
  </si>
  <si>
    <r>
      <t>SO</t>
    </r>
    <r>
      <rPr>
        <vertAlign val="subscript"/>
        <sz val="11"/>
        <color theme="1"/>
        <rFont val="Arial"/>
        <family val="2"/>
      </rPr>
      <t>2</t>
    </r>
    <r>
      <rPr>
        <sz val="11"/>
        <color theme="1"/>
        <rFont val="Arial"/>
        <family val="2"/>
      </rPr>
      <t xml:space="preserve"> boiler outlet emissions [load</t>
    </r>
    <r>
      <rPr>
        <vertAlign val="superscript"/>
        <sz val="11"/>
        <color theme="1"/>
        <rFont val="Arial"/>
        <family val="2"/>
      </rPr>
      <t>bo</t>
    </r>
    <r>
      <rPr>
        <vertAlign val="subscript"/>
        <sz val="11"/>
        <color theme="1"/>
        <rFont val="Arial"/>
        <family val="2"/>
      </rPr>
      <t>SO2,dry</t>
    </r>
    <r>
      <rPr>
        <sz val="11"/>
        <color theme="1"/>
        <rFont val="Arial"/>
        <family val="2"/>
      </rPr>
      <t>]</t>
    </r>
  </si>
  <si>
    <r>
      <t>Dust boiler outlet emissions [load</t>
    </r>
    <r>
      <rPr>
        <vertAlign val="superscript"/>
        <sz val="11"/>
        <color theme="1"/>
        <rFont val="Arial"/>
        <family val="2"/>
      </rPr>
      <t>bo</t>
    </r>
    <r>
      <rPr>
        <vertAlign val="subscript"/>
        <sz val="11"/>
        <color theme="1"/>
        <rFont val="Arial"/>
        <family val="2"/>
      </rPr>
      <t>ash,dry</t>
    </r>
    <r>
      <rPr>
        <sz val="11"/>
        <color theme="1"/>
        <rFont val="Arial"/>
        <family val="2"/>
      </rPr>
      <t>]</t>
    </r>
  </si>
  <si>
    <r>
      <t>NO</t>
    </r>
    <r>
      <rPr>
        <vertAlign val="subscript"/>
        <sz val="11"/>
        <color theme="1"/>
        <rFont val="Arial"/>
        <family val="2"/>
      </rPr>
      <t>x</t>
    </r>
    <r>
      <rPr>
        <sz val="11"/>
        <color theme="1"/>
        <rFont val="Arial"/>
        <family val="2"/>
      </rPr>
      <t xml:space="preserve"> boiler outlet emissions [load</t>
    </r>
    <r>
      <rPr>
        <vertAlign val="superscript"/>
        <sz val="11"/>
        <color theme="1"/>
        <rFont val="Arial"/>
        <family val="2"/>
      </rPr>
      <t>bo</t>
    </r>
    <r>
      <rPr>
        <vertAlign val="subscript"/>
        <sz val="11"/>
        <color theme="1"/>
        <rFont val="Arial"/>
        <family val="2"/>
      </rPr>
      <t>NOx,dry</t>
    </r>
    <r>
      <rPr>
        <sz val="11"/>
        <color theme="1"/>
        <rFont val="Arial"/>
        <family val="2"/>
      </rPr>
      <t>]</t>
    </r>
  </si>
  <si>
    <t>Factors</t>
  </si>
  <si>
    <t>Spec. Ideal gas volume</t>
  </si>
  <si>
    <t>Nm³/kmol</t>
  </si>
  <si>
    <r>
      <t>NO</t>
    </r>
    <r>
      <rPr>
        <b/>
        <vertAlign val="subscript"/>
        <sz val="11"/>
        <rFont val="Arial"/>
        <family val="2"/>
      </rPr>
      <t>x</t>
    </r>
    <r>
      <rPr>
        <b/>
        <sz val="11"/>
        <rFont val="Arial"/>
        <family val="2"/>
      </rPr>
      <t xml:space="preserve"> Boiler outlet emissions according to technology [mg/Nm³]</t>
    </r>
  </si>
  <si>
    <r>
      <t>SO</t>
    </r>
    <r>
      <rPr>
        <vertAlign val="subscript"/>
        <sz val="11"/>
        <color theme="1"/>
        <rFont val="Arial"/>
        <family val="2"/>
      </rPr>
      <t>2</t>
    </r>
  </si>
  <si>
    <r>
      <t>NO</t>
    </r>
    <r>
      <rPr>
        <vertAlign val="subscript"/>
        <sz val="11"/>
        <color theme="1"/>
        <rFont val="Arial"/>
        <family val="2"/>
      </rPr>
      <t>x</t>
    </r>
    <r>
      <rPr>
        <sz val="11"/>
        <color theme="1"/>
        <rFont val="Arial"/>
        <family val="2"/>
      </rPr>
      <t xml:space="preserve"> (as NO</t>
    </r>
    <r>
      <rPr>
        <vertAlign val="subscript"/>
        <sz val="11"/>
        <color theme="1"/>
        <rFont val="Arial"/>
        <family val="2"/>
      </rPr>
      <t>2</t>
    </r>
    <r>
      <rPr>
        <sz val="11"/>
        <color theme="1"/>
        <rFont val="Arial"/>
        <family val="2"/>
      </rPr>
      <t>)</t>
    </r>
  </si>
  <si>
    <r>
      <t>CO</t>
    </r>
    <r>
      <rPr>
        <vertAlign val="subscript"/>
        <sz val="11"/>
        <color theme="1"/>
        <rFont val="Arial"/>
        <family val="2"/>
      </rPr>
      <t>2</t>
    </r>
  </si>
  <si>
    <r>
      <t>NH</t>
    </r>
    <r>
      <rPr>
        <vertAlign val="subscript"/>
        <sz val="11"/>
        <color theme="1"/>
        <rFont val="Arial"/>
        <family val="2"/>
      </rPr>
      <t>3</t>
    </r>
  </si>
  <si>
    <r>
      <t>CaSO</t>
    </r>
    <r>
      <rPr>
        <vertAlign val="subscript"/>
        <sz val="11"/>
        <color theme="1"/>
        <rFont val="Arial"/>
        <family val="2"/>
      </rPr>
      <t>4</t>
    </r>
    <r>
      <rPr>
        <sz val="11"/>
        <color theme="1"/>
        <rFont val="Arial"/>
        <family val="2"/>
      </rPr>
      <t xml:space="preserve"> x 2 H</t>
    </r>
    <r>
      <rPr>
        <vertAlign val="subscript"/>
        <sz val="11"/>
        <color theme="1"/>
        <rFont val="Arial"/>
        <family val="2"/>
      </rPr>
      <t>2</t>
    </r>
    <r>
      <rPr>
        <sz val="11"/>
        <color theme="1"/>
        <rFont val="Arial"/>
        <family val="2"/>
      </rPr>
      <t>O</t>
    </r>
  </si>
  <si>
    <r>
      <t>CaCO</t>
    </r>
    <r>
      <rPr>
        <vertAlign val="subscript"/>
        <sz val="11"/>
        <color theme="1"/>
        <rFont val="Arial"/>
        <family val="2"/>
      </rPr>
      <t>3</t>
    </r>
  </si>
  <si>
    <r>
      <t>H</t>
    </r>
    <r>
      <rPr>
        <vertAlign val="subscript"/>
        <sz val="11"/>
        <color theme="1"/>
        <rFont val="Arial"/>
        <family val="2"/>
      </rPr>
      <t>2</t>
    </r>
    <r>
      <rPr>
        <sz val="11"/>
        <color theme="1"/>
        <rFont val="Arial"/>
        <family val="2"/>
      </rPr>
      <t>O</t>
    </r>
  </si>
  <si>
    <r>
      <t>Mass of carbon in ash [m</t>
    </r>
    <r>
      <rPr>
        <vertAlign val="subscript"/>
        <sz val="11"/>
        <color theme="1"/>
        <rFont val="Arial"/>
        <family val="2"/>
      </rPr>
      <t>cia</t>
    </r>
    <r>
      <rPr>
        <sz val="11"/>
        <color theme="1"/>
        <rFont val="Arial"/>
        <family val="2"/>
      </rPr>
      <t>]</t>
    </r>
  </si>
  <si>
    <t>kg/kg fuel</t>
  </si>
  <si>
    <r>
      <t>Mass density of air [δ</t>
    </r>
    <r>
      <rPr>
        <vertAlign val="superscript"/>
        <sz val="8.25"/>
        <color theme="1"/>
        <rFont val="Arial"/>
        <family val="2"/>
      </rPr>
      <t>air</t>
    </r>
    <r>
      <rPr>
        <sz val="8.25"/>
        <color theme="1"/>
        <rFont val="Arial"/>
        <family val="2"/>
      </rPr>
      <t>]</t>
    </r>
  </si>
  <si>
    <r>
      <t>Gross Electric Efficiency [η</t>
    </r>
    <r>
      <rPr>
        <vertAlign val="superscript"/>
        <sz val="11"/>
        <color theme="1"/>
        <rFont val="Arial"/>
        <family val="2"/>
      </rPr>
      <t>gross</t>
    </r>
    <r>
      <rPr>
        <sz val="11"/>
        <color theme="1"/>
        <rFont val="Arial"/>
        <family val="2"/>
      </rPr>
      <t>]</t>
    </r>
  </si>
  <si>
    <t>Reference Box Excess Air (λ)</t>
  </si>
  <si>
    <t>Excess Air Ratio [λ]</t>
  </si>
  <si>
    <r>
      <t>Spec. wet flue gas volume [v</t>
    </r>
    <r>
      <rPr>
        <vertAlign val="superscript"/>
        <sz val="11"/>
        <color theme="1"/>
        <rFont val="Arial"/>
        <family val="2"/>
      </rPr>
      <t>flue gas</t>
    </r>
    <r>
      <rPr>
        <vertAlign val="subscript"/>
        <sz val="11"/>
        <color theme="1"/>
        <rFont val="Arial"/>
        <family val="2"/>
      </rPr>
      <t>λ,wet</t>
    </r>
    <r>
      <rPr>
        <sz val="11"/>
        <color theme="1"/>
        <rFont val="Arial"/>
        <family val="2"/>
      </rPr>
      <t>]</t>
    </r>
  </si>
  <si>
    <r>
      <t>Spec. dry flue gas volume [v</t>
    </r>
    <r>
      <rPr>
        <vertAlign val="superscript"/>
        <sz val="11"/>
        <color theme="1"/>
        <rFont val="Arial"/>
        <family val="2"/>
      </rPr>
      <t>flue gas</t>
    </r>
    <r>
      <rPr>
        <vertAlign val="subscript"/>
        <sz val="11"/>
        <color theme="1"/>
        <rFont val="Arial"/>
        <family val="2"/>
      </rPr>
      <t>λ,dry</t>
    </r>
    <r>
      <rPr>
        <sz val="11"/>
        <color theme="1"/>
        <rFont val="Arial"/>
        <family val="2"/>
      </rPr>
      <t>]</t>
    </r>
  </si>
  <si>
    <r>
      <t>Annual wet flue gas volume [v</t>
    </r>
    <r>
      <rPr>
        <vertAlign val="superscript"/>
        <sz val="11"/>
        <color theme="1"/>
        <rFont val="Arial"/>
        <family val="2"/>
      </rPr>
      <t>flue gas</t>
    </r>
    <r>
      <rPr>
        <vertAlign val="subscript"/>
        <sz val="11"/>
        <color theme="1"/>
        <rFont val="Arial"/>
        <family val="2"/>
      </rPr>
      <t>λ,wet,year</t>
    </r>
    <r>
      <rPr>
        <sz val="11"/>
        <color theme="1"/>
        <rFont val="Arial"/>
        <family val="2"/>
      </rPr>
      <t>]</t>
    </r>
  </si>
  <si>
    <r>
      <t>Annual dry flue gas volume [v</t>
    </r>
    <r>
      <rPr>
        <vertAlign val="superscript"/>
        <sz val="11"/>
        <color theme="1"/>
        <rFont val="Arial"/>
        <family val="2"/>
      </rPr>
      <t>flue gas</t>
    </r>
    <r>
      <rPr>
        <vertAlign val="subscript"/>
        <sz val="11"/>
        <color theme="1"/>
        <rFont val="Arial"/>
        <family val="2"/>
      </rPr>
      <t>λ,dry,year</t>
    </r>
    <r>
      <rPr>
        <sz val="11"/>
        <color theme="1"/>
        <rFont val="Arial"/>
        <family val="2"/>
      </rPr>
      <t>]</t>
    </r>
  </si>
  <si>
    <t>Colombia</t>
  </si>
  <si>
    <r>
      <t>% O</t>
    </r>
    <r>
      <rPr>
        <vertAlign val="subscript"/>
        <sz val="11"/>
        <color theme="1"/>
        <rFont val="Arial"/>
        <family val="2"/>
      </rPr>
      <t>2</t>
    </r>
    <r>
      <rPr>
        <sz val="11"/>
        <color theme="1"/>
        <rFont val="Arial"/>
        <family val="2"/>
      </rPr>
      <t>, dry</t>
    </r>
  </si>
  <si>
    <r>
      <t>O</t>
    </r>
    <r>
      <rPr>
        <vertAlign val="subscript"/>
        <sz val="11"/>
        <color theme="1"/>
        <rFont val="Arial"/>
        <family val="2"/>
      </rPr>
      <t>2</t>
    </r>
    <r>
      <rPr>
        <sz val="11"/>
        <color theme="1"/>
        <rFont val="Arial"/>
        <family val="2"/>
      </rPr>
      <t xml:space="preserve"> corr. Factor to ref. O</t>
    </r>
    <r>
      <rPr>
        <vertAlign val="subscript"/>
        <sz val="11"/>
        <color theme="1"/>
        <rFont val="Arial"/>
        <family val="2"/>
      </rPr>
      <t>2</t>
    </r>
    <r>
      <rPr>
        <sz val="11"/>
        <color theme="1"/>
        <rFont val="Arial"/>
        <family val="2"/>
      </rPr>
      <t xml:space="preserve"> %</t>
    </r>
  </si>
  <si>
    <r>
      <t>mg/Nm³, dry, O</t>
    </r>
    <r>
      <rPr>
        <vertAlign val="subscript"/>
        <sz val="11"/>
        <color theme="1"/>
        <rFont val="Arial"/>
        <family val="2"/>
      </rPr>
      <t>2</t>
    </r>
    <r>
      <rPr>
        <sz val="11"/>
        <color theme="1"/>
        <rFont val="Arial"/>
        <family val="2"/>
      </rPr>
      <t xml:space="preserve"> act</t>
    </r>
  </si>
  <si>
    <r>
      <t>NO</t>
    </r>
    <r>
      <rPr>
        <vertAlign val="subscript"/>
        <sz val="11"/>
        <color theme="1"/>
        <rFont val="Arial"/>
        <family val="2"/>
      </rPr>
      <t>x</t>
    </r>
    <r>
      <rPr>
        <sz val="11"/>
        <color theme="1"/>
        <rFont val="Arial"/>
        <family val="2"/>
      </rPr>
      <t xml:space="preserve"> boiler outlet emissions [load</t>
    </r>
    <r>
      <rPr>
        <vertAlign val="superscript"/>
        <sz val="11"/>
        <color theme="1"/>
        <rFont val="Arial"/>
        <family val="2"/>
      </rPr>
      <t>bo</t>
    </r>
    <r>
      <rPr>
        <vertAlign val="subscript"/>
        <sz val="11"/>
        <color theme="1"/>
        <rFont val="Arial"/>
        <family val="2"/>
      </rPr>
      <t>NOx,dry,O2ref</t>
    </r>
    <r>
      <rPr>
        <sz val="11"/>
        <color theme="1"/>
        <rFont val="Arial"/>
        <family val="2"/>
      </rPr>
      <t>]</t>
    </r>
  </si>
  <si>
    <r>
      <t>mg/Nm³ NO</t>
    </r>
    <r>
      <rPr>
        <vertAlign val="subscript"/>
        <sz val="11"/>
        <color theme="1"/>
        <rFont val="Arial"/>
        <family val="2"/>
      </rPr>
      <t>x</t>
    </r>
    <r>
      <rPr>
        <sz val="11"/>
        <color theme="1"/>
        <rFont val="Arial"/>
        <family val="2"/>
      </rPr>
      <t>, dry, ref O</t>
    </r>
    <r>
      <rPr>
        <vertAlign val="subscript"/>
        <sz val="11"/>
        <color theme="1"/>
        <rFont val="Arial"/>
        <family val="2"/>
      </rPr>
      <t>2</t>
    </r>
    <r>
      <rPr>
        <sz val="11"/>
        <color theme="1"/>
        <rFont val="Arial"/>
        <family val="2"/>
      </rPr>
      <t>-%</t>
    </r>
  </si>
  <si>
    <t>Design penetration</t>
  </si>
  <si>
    <t>MMDi</t>
  </si>
  <si>
    <t>SCA (s/m)</t>
  </si>
  <si>
    <t>E avg</t>
  </si>
  <si>
    <t>MMDrp</t>
  </si>
  <si>
    <t>Basic unit</t>
  </si>
  <si>
    <t>All standard option</t>
  </si>
  <si>
    <t>Material</t>
  </si>
  <si>
    <t>Carbon Steel</t>
  </si>
  <si>
    <t>Stainless steel 304</t>
  </si>
  <si>
    <t>Stainless steel 316</t>
  </si>
  <si>
    <t>Carpenter 20 CB-3</t>
  </si>
  <si>
    <t>Monel-400</t>
  </si>
  <si>
    <t>Nickel-200</t>
  </si>
  <si>
    <t>Titanium</t>
  </si>
  <si>
    <t>Bottom up approach to define Effective Collecting Plate Area</t>
  </si>
  <si>
    <t>Back corona</t>
  </si>
  <si>
    <r>
      <t>Effective Collecting Plate Area [A</t>
    </r>
    <r>
      <rPr>
        <vertAlign val="subscript"/>
        <sz val="11"/>
        <color theme="1"/>
        <rFont val="Calibri"/>
        <family val="2"/>
        <scheme val="minor"/>
      </rPr>
      <t>ECP</t>
    </r>
    <r>
      <rPr>
        <sz val="11"/>
        <color theme="1"/>
        <rFont val="Calibri"/>
        <family val="2"/>
        <scheme val="minor"/>
      </rPr>
      <t>]</t>
    </r>
  </si>
  <si>
    <t>m2</t>
  </si>
  <si>
    <t>Temperature [T]</t>
  </si>
  <si>
    <t>K</t>
  </si>
  <si>
    <t>µm</t>
  </si>
  <si>
    <t>kg/m/s</t>
  </si>
  <si>
    <t>Electric field at sparking [Ebd]</t>
  </si>
  <si>
    <r>
      <t>Gas viscosity [</t>
    </r>
    <r>
      <rPr>
        <sz val="11"/>
        <color theme="1"/>
        <rFont val="Calibri"/>
        <family val="2"/>
      </rPr>
      <t>μ</t>
    </r>
    <r>
      <rPr>
        <vertAlign val="subscript"/>
        <sz val="11"/>
        <color theme="1"/>
        <rFont val="Calibri"/>
        <family val="2"/>
      </rPr>
      <t>G</t>
    </r>
    <r>
      <rPr>
        <sz val="11"/>
        <color theme="1"/>
        <rFont val="Calibri"/>
        <family val="2"/>
      </rPr>
      <t>]</t>
    </r>
  </si>
  <si>
    <t>V/m</t>
  </si>
  <si>
    <t>Source</t>
  </si>
  <si>
    <t>Sneakage [SN]</t>
  </si>
  <si>
    <t>Raping reentrainment [RR]</t>
  </si>
  <si>
    <t>Most penetrating size [MMDp]</t>
  </si>
  <si>
    <r>
      <t>Free space permittivity [</t>
    </r>
    <r>
      <rPr>
        <sz val="11"/>
        <color theme="1"/>
        <rFont val="Calibri"/>
        <family val="2"/>
      </rPr>
      <t>ε</t>
    </r>
    <r>
      <rPr>
        <vertAlign val="subscript"/>
        <sz val="7.7"/>
        <color theme="1"/>
        <rFont val="Calibri"/>
        <family val="2"/>
      </rPr>
      <t>0</t>
    </r>
    <r>
      <rPr>
        <sz val="7.7"/>
        <color theme="1"/>
        <rFont val="Calibri"/>
        <family val="2"/>
      </rPr>
      <t>]</t>
    </r>
  </si>
  <si>
    <t>Loss factor [LF]</t>
  </si>
  <si>
    <t>Rapping puff size [MMDr]</t>
  </si>
  <si>
    <t>D</t>
  </si>
  <si>
    <t>Mass mean Diameter [MMDin]</t>
  </si>
  <si>
    <t>Average section penetration [ps]</t>
  </si>
  <si>
    <t>Section collection penetration [pc]</t>
  </si>
  <si>
    <t>[SCA]</t>
  </si>
  <si>
    <t>s/m</t>
  </si>
  <si>
    <t>Plate area inferior limit (m2)</t>
  </si>
  <si>
    <t>Bottom up approach to define Effective Collecting Plate Area - Reference Boxes</t>
  </si>
  <si>
    <t>Dust emissions saved</t>
  </si>
  <si>
    <t>With option</t>
  </si>
  <si>
    <t>ESP material</t>
  </si>
  <si>
    <t>€/m2</t>
  </si>
  <si>
    <t>Fan utility electricity consumption</t>
  </si>
  <si>
    <t>ESP power requirement</t>
  </si>
  <si>
    <t>Pressure drop range (mbar)</t>
  </si>
  <si>
    <t>Pressure drop value</t>
  </si>
  <si>
    <t>MWh/mbar/Nm³</t>
  </si>
  <si>
    <t>Fan efficiency</t>
  </si>
  <si>
    <t>40-70</t>
  </si>
  <si>
    <t>Fan efficiency range (%)</t>
  </si>
  <si>
    <t>25 - 50</t>
  </si>
  <si>
    <t>m/s</t>
  </si>
  <si>
    <t>AECP &gt; 4645 m2</t>
  </si>
  <si>
    <r>
      <t xml:space="preserve">AECP </t>
    </r>
    <r>
      <rPr>
        <sz val="11"/>
        <color theme="1"/>
        <rFont val="Calibri"/>
        <family val="2"/>
      </rPr>
      <t>≤</t>
    </r>
    <r>
      <rPr>
        <sz val="11"/>
        <color theme="1"/>
        <rFont val="Calibri"/>
        <family val="2"/>
        <scheme val="minor"/>
      </rPr>
      <t xml:space="preserve"> 4645 m2</t>
    </r>
  </si>
  <si>
    <r>
      <t>Net cloth area [A</t>
    </r>
    <r>
      <rPr>
        <vertAlign val="subscript"/>
        <sz val="11"/>
        <color theme="1"/>
        <rFont val="Calibri"/>
        <family val="2"/>
        <scheme val="minor"/>
      </rPr>
      <t>NC</t>
    </r>
    <r>
      <rPr>
        <sz val="11"/>
        <color theme="1"/>
        <rFont val="Calibri"/>
        <family val="2"/>
        <scheme val="minor"/>
      </rPr>
      <t>]</t>
    </r>
  </si>
  <si>
    <t>Baghouse type</t>
  </si>
  <si>
    <t>Component</t>
  </si>
  <si>
    <t>SS</t>
  </si>
  <si>
    <t>Insulation</t>
  </si>
  <si>
    <t>Stainless Steel</t>
  </si>
  <si>
    <t>a1</t>
  </si>
  <si>
    <t>a2</t>
  </si>
  <si>
    <t>a3</t>
  </si>
  <si>
    <t>b1</t>
  </si>
  <si>
    <t>b2</t>
  </si>
  <si>
    <t>b3</t>
  </si>
  <si>
    <t>Cost for baghouse compartments</t>
  </si>
  <si>
    <t>Cost calculation</t>
  </si>
  <si>
    <t>a (€)</t>
  </si>
  <si>
    <t>b (€/m2)</t>
  </si>
  <si>
    <t>PE</t>
  </si>
  <si>
    <t>CO</t>
  </si>
  <si>
    <t>PP</t>
  </si>
  <si>
    <t>FG</t>
  </si>
  <si>
    <t>NO</t>
  </si>
  <si>
    <t>RT</t>
  </si>
  <si>
    <t>P8</t>
  </si>
  <si>
    <t>TF</t>
  </si>
  <si>
    <t>Media material</t>
  </si>
  <si>
    <t>Bags cost</t>
  </si>
  <si>
    <t>d</t>
  </si>
  <si>
    <t>Total cage cost</t>
  </si>
  <si>
    <t>Cage cost for pulse jet application</t>
  </si>
  <si>
    <r>
      <t>Bag replacement cost [C</t>
    </r>
    <r>
      <rPr>
        <b/>
        <vertAlign val="subscript"/>
        <sz val="11"/>
        <color theme="1"/>
        <rFont val="Arial"/>
        <family val="2"/>
      </rPr>
      <t>rep</t>
    </r>
    <r>
      <rPr>
        <b/>
        <vertAlign val="superscript"/>
        <sz val="11"/>
        <color theme="1"/>
        <rFont val="Arial"/>
        <family val="2"/>
      </rPr>
      <t>bags</t>
    </r>
    <r>
      <rPr>
        <b/>
        <sz val="11"/>
        <color theme="1"/>
        <rFont val="Arial"/>
        <family val="2"/>
      </rPr>
      <t>]</t>
    </r>
  </si>
  <si>
    <t>Reference price for PE material</t>
  </si>
  <si>
    <r>
      <t>Bags cost [C</t>
    </r>
    <r>
      <rPr>
        <vertAlign val="superscript"/>
        <sz val="11"/>
        <color theme="1"/>
        <rFont val="Calibri"/>
        <family val="2"/>
        <scheme val="minor"/>
      </rPr>
      <t>bag</t>
    </r>
    <r>
      <rPr>
        <vertAlign val="subscript"/>
        <sz val="11"/>
        <color theme="1"/>
        <rFont val="Calibri"/>
        <family val="2"/>
        <scheme val="minor"/>
      </rPr>
      <t>total</t>
    </r>
    <r>
      <rPr>
        <sz val="11"/>
        <color theme="1"/>
        <rFont val="Calibri"/>
        <family val="2"/>
        <scheme val="minor"/>
      </rPr>
      <t>]</t>
    </r>
  </si>
  <si>
    <r>
      <t>Bag prices [C</t>
    </r>
    <r>
      <rPr>
        <vertAlign val="superscript"/>
        <sz val="11"/>
        <color theme="1"/>
        <rFont val="Calibri"/>
        <family val="2"/>
        <scheme val="minor"/>
      </rPr>
      <t>bag</t>
    </r>
    <r>
      <rPr>
        <vertAlign val="subscript"/>
        <sz val="11"/>
        <color theme="1"/>
        <rFont val="Calibri"/>
        <family val="2"/>
        <scheme val="minor"/>
      </rPr>
      <t>area</t>
    </r>
    <r>
      <rPr>
        <sz val="11"/>
        <color theme="1"/>
        <rFont val="Calibri"/>
        <family val="2"/>
        <scheme val="minor"/>
      </rPr>
      <t>]</t>
    </r>
  </si>
  <si>
    <t>Thermal insulation</t>
  </si>
  <si>
    <t xml:space="preserve">[4-21] </t>
  </si>
  <si>
    <t>F/m</t>
  </si>
  <si>
    <t>410-500</t>
  </si>
  <si>
    <t>Foundation &amp; support</t>
  </si>
  <si>
    <t>Handling and erection</t>
  </si>
  <si>
    <t>Electrical</t>
  </si>
  <si>
    <t>Piping</t>
  </si>
  <si>
    <t>Insulation for ductwork</t>
  </si>
  <si>
    <t>Painting</t>
  </si>
  <si>
    <t>FF lesson 4</t>
  </si>
  <si>
    <t>Balcke Durr</t>
  </si>
  <si>
    <t>Balcke Durr ; Entretien industriel CITEPA</t>
  </si>
  <si>
    <t>Lifetime Reduction Biomass Co-firing</t>
  </si>
  <si>
    <t>Total Cat. Lifetime Biomass</t>
  </si>
  <si>
    <t>Oak</t>
  </si>
  <si>
    <t>Beech</t>
  </si>
  <si>
    <t>Birch</t>
  </si>
  <si>
    <t>Pine</t>
  </si>
  <si>
    <t>Spruce</t>
  </si>
  <si>
    <t>Spec. Power requirement of pressure drop</t>
  </si>
  <si>
    <t>Interest rate</t>
  </si>
  <si>
    <t>Ekofisk</t>
  </si>
  <si>
    <t>Groningen</t>
  </si>
  <si>
    <t>Netherlands</t>
  </si>
  <si>
    <t>Al Jubail</t>
  </si>
  <si>
    <t>Saudi Arabia</t>
  </si>
  <si>
    <t>Indonesia</t>
  </si>
  <si>
    <t>United States</t>
  </si>
  <si>
    <t>LNG</t>
  </si>
  <si>
    <t>HHV</t>
  </si>
  <si>
    <t>HHV [kJ/Nm³]</t>
  </si>
  <si>
    <t>others</t>
  </si>
  <si>
    <t xml:space="preserve"> Composition of exemplary (treated) natural gases (vol.-%) Source: Reimert 2012</t>
  </si>
  <si>
    <t>Norway</t>
  </si>
  <si>
    <t>MJ/Nm³</t>
  </si>
  <si>
    <r>
      <t>others</t>
    </r>
    <r>
      <rPr>
        <b/>
        <vertAlign val="superscript"/>
        <sz val="11"/>
        <color theme="1"/>
        <rFont val="Arial"/>
        <family val="2"/>
      </rPr>
      <t>1</t>
    </r>
  </si>
  <si>
    <r>
      <rPr>
        <vertAlign val="superscript"/>
        <sz val="11"/>
        <color theme="1"/>
        <rFont val="Arial"/>
        <family val="2"/>
      </rPr>
      <t>1</t>
    </r>
    <r>
      <rPr>
        <sz val="11"/>
        <color theme="1"/>
        <rFont val="Arial"/>
        <family val="2"/>
      </rPr>
      <t xml:space="preserve"> others are mainly higher hydrocarbons and will be treated for the following calculation as C4H10</t>
    </r>
  </si>
  <si>
    <r>
      <t>CH</t>
    </r>
    <r>
      <rPr>
        <b/>
        <vertAlign val="subscript"/>
        <sz val="11"/>
        <color theme="1"/>
        <rFont val="Arial"/>
        <family val="2"/>
      </rPr>
      <t>4</t>
    </r>
  </si>
  <si>
    <r>
      <t>C</t>
    </r>
    <r>
      <rPr>
        <b/>
        <vertAlign val="subscript"/>
        <sz val="11"/>
        <color theme="1"/>
        <rFont val="Arial"/>
        <family val="2"/>
      </rPr>
      <t>2</t>
    </r>
    <r>
      <rPr>
        <b/>
        <sz val="11"/>
        <color theme="1"/>
        <rFont val="Arial"/>
        <family val="2"/>
      </rPr>
      <t>H</t>
    </r>
    <r>
      <rPr>
        <b/>
        <vertAlign val="subscript"/>
        <sz val="11"/>
        <color theme="1"/>
        <rFont val="Arial"/>
        <family val="2"/>
      </rPr>
      <t>6</t>
    </r>
  </si>
  <si>
    <r>
      <t>C</t>
    </r>
    <r>
      <rPr>
        <b/>
        <vertAlign val="subscript"/>
        <sz val="11"/>
        <color theme="1"/>
        <rFont val="Arial"/>
        <family val="2"/>
      </rPr>
      <t>3</t>
    </r>
    <r>
      <rPr>
        <b/>
        <sz val="11"/>
        <color theme="1"/>
        <rFont val="Arial"/>
        <family val="2"/>
      </rPr>
      <t>H</t>
    </r>
    <r>
      <rPr>
        <b/>
        <vertAlign val="subscript"/>
        <sz val="11"/>
        <color theme="1"/>
        <rFont val="Arial"/>
        <family val="2"/>
      </rPr>
      <t>8</t>
    </r>
  </si>
  <si>
    <r>
      <t>C</t>
    </r>
    <r>
      <rPr>
        <b/>
        <vertAlign val="subscript"/>
        <sz val="11"/>
        <color theme="1"/>
        <rFont val="Arial"/>
        <family val="2"/>
      </rPr>
      <t>4</t>
    </r>
    <r>
      <rPr>
        <b/>
        <sz val="11"/>
        <color theme="1"/>
        <rFont val="Arial"/>
        <family val="2"/>
      </rPr>
      <t>H</t>
    </r>
    <r>
      <rPr>
        <b/>
        <vertAlign val="subscript"/>
        <sz val="11"/>
        <color theme="1"/>
        <rFont val="Arial"/>
        <family val="2"/>
      </rPr>
      <t>10</t>
    </r>
  </si>
  <si>
    <r>
      <t>CO</t>
    </r>
    <r>
      <rPr>
        <b/>
        <vertAlign val="subscript"/>
        <sz val="11"/>
        <color theme="1"/>
        <rFont val="Arial"/>
        <family val="2"/>
      </rPr>
      <t>2</t>
    </r>
  </si>
  <si>
    <r>
      <t>N</t>
    </r>
    <r>
      <rPr>
        <b/>
        <vertAlign val="subscript"/>
        <sz val="11"/>
        <color theme="1"/>
        <rFont val="Arial"/>
        <family val="2"/>
      </rPr>
      <t>2</t>
    </r>
  </si>
  <si>
    <t>Nm³/kg fuel</t>
  </si>
  <si>
    <t>Nm³/Nm³ fuel</t>
  </si>
  <si>
    <r>
      <t>Spec. wet flue gas volume (Nm³/kg coal) [v</t>
    </r>
    <r>
      <rPr>
        <vertAlign val="superscript"/>
        <sz val="11"/>
        <color theme="1"/>
        <rFont val="Arial"/>
        <family val="2"/>
      </rPr>
      <t>flue gas</t>
    </r>
    <r>
      <rPr>
        <vertAlign val="subscript"/>
        <sz val="11"/>
        <color theme="1"/>
        <rFont val="Arial"/>
        <family val="2"/>
      </rPr>
      <t>λ,wet</t>
    </r>
    <r>
      <rPr>
        <sz val="11"/>
        <color theme="1"/>
        <rFont val="Arial"/>
        <family val="2"/>
      </rPr>
      <t>]</t>
    </r>
  </si>
  <si>
    <t>Nm³/Nm³fuel</t>
  </si>
  <si>
    <t>Gas Specification in Vol.-%</t>
  </si>
  <si>
    <t>Nm³</t>
  </si>
  <si>
    <t>Oxygen for stoich. Combustion needed</t>
  </si>
  <si>
    <t>Combustion Air Demand at excess air ratio</t>
  </si>
  <si>
    <r>
      <t>Spec. moisture volume (Nm³/Nm³ fuel) [v</t>
    </r>
    <r>
      <rPr>
        <vertAlign val="superscript"/>
        <sz val="11"/>
        <color theme="1"/>
        <rFont val="Arial"/>
        <family val="2"/>
      </rPr>
      <t>moisture</t>
    </r>
    <r>
      <rPr>
        <sz val="11"/>
        <color theme="1"/>
        <rFont val="Arial"/>
        <family val="2"/>
      </rPr>
      <t>]</t>
    </r>
  </si>
  <si>
    <r>
      <t>Spec. wet flue gas volume (Nm³/Nm³ fuel) [v</t>
    </r>
    <r>
      <rPr>
        <vertAlign val="superscript"/>
        <sz val="11"/>
        <color theme="1"/>
        <rFont val="Arial"/>
        <family val="2"/>
      </rPr>
      <t>flue gas</t>
    </r>
    <r>
      <rPr>
        <vertAlign val="subscript"/>
        <sz val="11"/>
        <color theme="1"/>
        <rFont val="Arial"/>
        <family val="2"/>
      </rPr>
      <t>λ,wet</t>
    </r>
    <r>
      <rPr>
        <sz val="11"/>
        <color theme="1"/>
        <rFont val="Arial"/>
        <family val="2"/>
      </rPr>
      <t>]</t>
    </r>
  </si>
  <si>
    <t>Nm³ moisture/Nm³ fuel (ass.: pure CH4)</t>
  </si>
  <si>
    <r>
      <t>Density of Natural Gas [δ</t>
    </r>
    <r>
      <rPr>
        <vertAlign val="subscript"/>
        <sz val="11"/>
        <color theme="1"/>
        <rFont val="Arial"/>
        <family val="2"/>
      </rPr>
      <t>gas</t>
    </r>
    <r>
      <rPr>
        <sz val="11"/>
        <color theme="1"/>
        <rFont val="Arial"/>
        <family val="2"/>
      </rPr>
      <t>]</t>
    </r>
  </si>
  <si>
    <t>Nm³ Flue Gas, λ, wet/Nm³ gas</t>
  </si>
  <si>
    <t>Nm³ stoich. combustion air/Nm³ gas</t>
  </si>
  <si>
    <t>Nm³ Flue Gas, λ, dry/Nm³ gas</t>
  </si>
  <si>
    <t xml:space="preserve"> Fuel Spec. Used</t>
  </si>
  <si>
    <t>Natural Gas</t>
  </si>
  <si>
    <r>
      <t>CH</t>
    </r>
    <r>
      <rPr>
        <vertAlign val="subscript"/>
        <sz val="11"/>
        <color theme="1"/>
        <rFont val="Arial"/>
        <family val="2"/>
      </rPr>
      <t>4</t>
    </r>
  </si>
  <si>
    <r>
      <t>C</t>
    </r>
    <r>
      <rPr>
        <vertAlign val="subscript"/>
        <sz val="11"/>
        <color theme="1"/>
        <rFont val="Arial"/>
        <family val="2"/>
      </rPr>
      <t>2</t>
    </r>
    <r>
      <rPr>
        <sz val="11"/>
        <color theme="1"/>
        <rFont val="Arial"/>
        <family val="2"/>
      </rPr>
      <t>H</t>
    </r>
    <r>
      <rPr>
        <vertAlign val="subscript"/>
        <sz val="11"/>
        <color theme="1"/>
        <rFont val="Arial"/>
        <family val="2"/>
      </rPr>
      <t>6</t>
    </r>
  </si>
  <si>
    <r>
      <t>C</t>
    </r>
    <r>
      <rPr>
        <vertAlign val="subscript"/>
        <sz val="11"/>
        <color theme="1"/>
        <rFont val="Arial"/>
        <family val="2"/>
      </rPr>
      <t>3</t>
    </r>
    <r>
      <rPr>
        <sz val="11"/>
        <color theme="1"/>
        <rFont val="Arial"/>
        <family val="2"/>
      </rPr>
      <t>H</t>
    </r>
    <r>
      <rPr>
        <vertAlign val="subscript"/>
        <sz val="11"/>
        <color theme="1"/>
        <rFont val="Arial"/>
        <family val="2"/>
      </rPr>
      <t>8</t>
    </r>
  </si>
  <si>
    <r>
      <t>C</t>
    </r>
    <r>
      <rPr>
        <vertAlign val="subscript"/>
        <sz val="11"/>
        <color theme="1"/>
        <rFont val="Arial"/>
        <family val="2"/>
      </rPr>
      <t>4</t>
    </r>
    <r>
      <rPr>
        <sz val="11"/>
        <color theme="1"/>
        <rFont val="Arial"/>
        <family val="2"/>
      </rPr>
      <t>H</t>
    </r>
    <r>
      <rPr>
        <vertAlign val="subscript"/>
        <sz val="11"/>
        <color theme="1"/>
        <rFont val="Arial"/>
        <family val="2"/>
      </rPr>
      <t>10</t>
    </r>
  </si>
  <si>
    <t>Type</t>
  </si>
  <si>
    <t>Crude Oil</t>
  </si>
  <si>
    <t>83-87</t>
  </si>
  <si>
    <t>Low sulphur oil</t>
  </si>
  <si>
    <t>&lt;0,5%</t>
  </si>
  <si>
    <t>0,5-2%</t>
  </si>
  <si>
    <t>&gt;2%</t>
  </si>
  <si>
    <t>High sulphur oil</t>
  </si>
  <si>
    <t>Medium sulphur oil</t>
  </si>
  <si>
    <t>Gasoline</t>
  </si>
  <si>
    <t>EU Standard</t>
  </si>
  <si>
    <t xml:space="preserve">Diesel </t>
  </si>
  <si>
    <t>84-86</t>
  </si>
  <si>
    <t>13-15</t>
  </si>
  <si>
    <t>&lt;0,02</t>
  </si>
  <si>
    <t xml:space="preserve"> Composition of exemplary liquid fuels (mass-%) </t>
  </si>
  <si>
    <t>Heavy Fuel Oil</t>
  </si>
  <si>
    <t>1-5</t>
  </si>
  <si>
    <t>86-88</t>
  </si>
  <si>
    <t>8-10</t>
  </si>
  <si>
    <t>Biodiesel</t>
  </si>
  <si>
    <t>10-14</t>
  </si>
  <si>
    <t>0,05-1,5</t>
  </si>
  <si>
    <t>0,05-6</t>
  </si>
  <si>
    <t>0,1-2</t>
  </si>
  <si>
    <t>&lt;0,1</t>
  </si>
  <si>
    <t>&lt;1</t>
  </si>
  <si>
    <t>Ash/Metals/Minerals</t>
  </si>
  <si>
    <t>Hyne, N. J.: Nontechnical Guide to Petroleum Geology, Exploration, Drillind, and Production, PennWell, 2001, pp. 1-4.</t>
  </si>
  <si>
    <t xml:space="preserve">Martinez, I.: Fuel properties, available at http://webserver.dmt.upm.es/~isidoro/bk3/c15/Fuel%20properties.pdf </t>
  </si>
  <si>
    <r>
      <t>S</t>
    </r>
    <r>
      <rPr>
        <b/>
        <vertAlign val="superscript"/>
        <sz val="11"/>
        <color theme="1"/>
        <rFont val="Arial"/>
        <family val="2"/>
      </rPr>
      <t>1</t>
    </r>
  </si>
  <si>
    <r>
      <rPr>
        <vertAlign val="superscript"/>
        <sz val="11"/>
        <color theme="1"/>
        <rFont val="Arial"/>
        <family val="2"/>
      </rPr>
      <t xml:space="preserve">1 </t>
    </r>
    <r>
      <rPr>
        <sz val="11"/>
        <color theme="1"/>
        <rFont val="Arial"/>
        <family val="2"/>
      </rPr>
      <t>Classification of refined oils acc. To sulphur content</t>
    </r>
  </si>
  <si>
    <t>Detailed Gas Composition</t>
  </si>
  <si>
    <t>Detailed Liquid Fuel Composition</t>
  </si>
  <si>
    <t>HHV [kJ/kg]</t>
  </si>
  <si>
    <t>Broad Liquid Fuel Composition</t>
  </si>
  <si>
    <t>Liquid Fuel</t>
  </si>
  <si>
    <t>Nm³ Excess Air/kg fuel</t>
  </si>
  <si>
    <t>Nm³ moisture/kg fuel</t>
  </si>
  <si>
    <r>
      <t>Spec. wet flue gas volume (Nm³/kg fuel [v</t>
    </r>
    <r>
      <rPr>
        <vertAlign val="superscript"/>
        <sz val="11"/>
        <color theme="1"/>
        <rFont val="Arial"/>
        <family val="2"/>
      </rPr>
      <t>flue gas</t>
    </r>
    <r>
      <rPr>
        <vertAlign val="subscript"/>
        <sz val="11"/>
        <color theme="1"/>
        <rFont val="Arial"/>
        <family val="2"/>
      </rPr>
      <t>λ,wet</t>
    </r>
    <r>
      <rPr>
        <sz val="11"/>
        <color theme="1"/>
        <rFont val="Arial"/>
        <family val="2"/>
      </rPr>
      <t>]</t>
    </r>
  </si>
  <si>
    <r>
      <t>Logging residue chips</t>
    </r>
    <r>
      <rPr>
        <vertAlign val="superscript"/>
        <sz val="11"/>
        <color theme="1"/>
        <rFont val="Calibri"/>
        <family val="2"/>
        <scheme val="minor"/>
      </rPr>
      <t>a)</t>
    </r>
  </si>
  <si>
    <t>Whole tree chips</t>
  </si>
  <si>
    <t>Log Chips</t>
  </si>
  <si>
    <t>Stump Chips</t>
  </si>
  <si>
    <t>Softwood Bark</t>
  </si>
  <si>
    <t>Birch Bark</t>
  </si>
  <si>
    <t>Moisture content, w-% (fresh chips)</t>
  </si>
  <si>
    <t>50-60</t>
  </si>
  <si>
    <t>45-55</t>
  </si>
  <si>
    <t>40-55</t>
  </si>
  <si>
    <t>30-50</t>
  </si>
  <si>
    <t>50-65</t>
  </si>
  <si>
    <t>Net calorific value in dry matter, MJ/kg</t>
  </si>
  <si>
    <t>Net calorific value as received, MJ/kg</t>
  </si>
  <si>
    <t>250-400</t>
  </si>
  <si>
    <t>250-350</t>
  </si>
  <si>
    <t>0.7-0.9</t>
  </si>
  <si>
    <t>0.8-1.0</t>
  </si>
  <si>
    <t>0.5-0.7</t>
  </si>
  <si>
    <t>0.6-0.8</t>
  </si>
  <si>
    <t>Ash content in dry matter, w-%</t>
  </si>
  <si>
    <t>0.5-2</t>
  </si>
  <si>
    <t>5.7-5.9</t>
  </si>
  <si>
    <t>6.2-6.8</t>
  </si>
  <si>
    <t>&lt;0.05</t>
  </si>
  <si>
    <t>0.3-0.5</t>
  </si>
  <si>
    <t>0.5-0.8</t>
  </si>
  <si>
    <t>18,5 - 20</t>
  </si>
  <si>
    <t>6 - 9</t>
  </si>
  <si>
    <t>21 - 23</t>
  </si>
  <si>
    <t>6 - 11</t>
  </si>
  <si>
    <t>6 - 10</t>
  </si>
  <si>
    <t>7 - 11</t>
  </si>
  <si>
    <t>1 - 3</t>
  </si>
  <si>
    <t>1 - 2</t>
  </si>
  <si>
    <t>6 - 6.2</t>
  </si>
  <si>
    <t>5.4 - 6</t>
  </si>
  <si>
    <t>Wood Residue Chips</t>
  </si>
  <si>
    <t>Saw residue chips</t>
  </si>
  <si>
    <t>Sawdust</t>
  </si>
  <si>
    <t>Cutter chips</t>
  </si>
  <si>
    <t>Grinding dust</t>
  </si>
  <si>
    <t>Plywood residue</t>
  </si>
  <si>
    <t>Uncoated wood</t>
  </si>
  <si>
    <t>45-60</t>
  </si>
  <si>
    <t>15-30</t>
  </si>
  <si>
    <t>19-19.2</t>
  </si>
  <si>
    <t>18-19</t>
  </si>
  <si>
    <t>13-16</t>
  </si>
  <si>
    <t>15-17</t>
  </si>
  <si>
    <t>150-300</t>
  </si>
  <si>
    <t>80-120</t>
  </si>
  <si>
    <t>100-150</t>
  </si>
  <si>
    <t>150-250</t>
  </si>
  <si>
    <t>0.45-0.7</t>
  </si>
  <si>
    <t>0.45-0.55</t>
  </si>
  <si>
    <t>0.5-0.65</t>
  </si>
  <si>
    <t>0.9-1.1</t>
  </si>
  <si>
    <t>0.65-0.8</t>
  </si>
  <si>
    <t>0.4-1</t>
  </si>
  <si>
    <t>0.5-2.0</t>
  </si>
  <si>
    <t>0.4-0.5</t>
  </si>
  <si>
    <t>0.4-0.8</t>
  </si>
  <si>
    <t>5.4-6.4</t>
  </si>
  <si>
    <t>6.2-6.4</t>
  </si>
  <si>
    <t>&lt;0.1</t>
  </si>
  <si>
    <t>0.1-0.5</t>
  </si>
  <si>
    <t>10 - 50</t>
  </si>
  <si>
    <t>5 - 15</t>
  </si>
  <si>
    <t xml:space="preserve">5 - 15 </t>
  </si>
  <si>
    <t>6 - 15</t>
  </si>
  <si>
    <t>Bulk densitiy as received (kg/loose m³)</t>
  </si>
  <si>
    <t>&lt; 0,05</t>
  </si>
  <si>
    <t>Energy densityMWh/m³ of bulk volume</t>
  </si>
  <si>
    <t>Hydrogen content in dry matter, w-%</t>
  </si>
  <si>
    <t>sulphur content in dry matter, w-%</t>
  </si>
  <si>
    <t>nitrogen content in dry matter, w-%</t>
  </si>
  <si>
    <r>
      <t>dry flue gas volume per second [v</t>
    </r>
    <r>
      <rPr>
        <vertAlign val="superscript"/>
        <sz val="11"/>
        <color theme="1"/>
        <rFont val="Arial"/>
        <family val="2"/>
      </rPr>
      <t>flue gas</t>
    </r>
    <r>
      <rPr>
        <vertAlign val="subscript"/>
        <sz val="11"/>
        <color theme="1"/>
        <rFont val="Arial"/>
        <family val="2"/>
      </rPr>
      <t>λ,dry,sec</t>
    </r>
    <r>
      <rPr>
        <sz val="11"/>
        <color theme="1"/>
        <rFont val="Arial"/>
        <family val="2"/>
      </rPr>
      <t>]</t>
    </r>
  </si>
  <si>
    <t>Baghouse division</t>
  </si>
  <si>
    <t>Bag life (operating hour)</t>
  </si>
  <si>
    <t>Air compressor consumption</t>
  </si>
  <si>
    <t>Compressed to actual air flow ratio</t>
  </si>
  <si>
    <t>Air to cloth ratio [A/C]</t>
  </si>
  <si>
    <t>Air to cloth ratio for pulse jet fabric filter</t>
  </si>
  <si>
    <t>SO3 injection precaution</t>
  </si>
  <si>
    <t>Sulfur cost (€/t)</t>
  </si>
  <si>
    <t>Number of extra compartments</t>
  </si>
  <si>
    <t>Bottom up approach to define total filtration area</t>
  </si>
  <si>
    <t>Cost calculation - Reference boxes</t>
  </si>
  <si>
    <t>Lenght</t>
  </si>
  <si>
    <t>Diameter</t>
  </si>
  <si>
    <t>Lenght (m)</t>
  </si>
  <si>
    <t>3-9</t>
  </si>
  <si>
    <t>Diameter (mm)</t>
  </si>
  <si>
    <t>120-180</t>
  </si>
  <si>
    <t>mm</t>
  </si>
  <si>
    <t>m</t>
  </si>
  <si>
    <r>
      <t>Compartment Area [A</t>
    </r>
    <r>
      <rPr>
        <vertAlign val="subscript"/>
        <sz val="11"/>
        <color theme="1"/>
        <rFont val="Calibri"/>
        <family val="2"/>
        <scheme val="minor"/>
      </rPr>
      <t>comp</t>
    </r>
    <r>
      <rPr>
        <sz val="11"/>
        <color theme="1"/>
        <rFont val="Calibri"/>
        <family val="2"/>
        <scheme val="minor"/>
      </rPr>
      <t>]</t>
    </r>
  </si>
  <si>
    <t>Cage price per m2</t>
  </si>
  <si>
    <t>16-25</t>
  </si>
  <si>
    <t>5-9</t>
  </si>
  <si>
    <t>15 000-40 000</t>
  </si>
  <si>
    <t>Reference box ESP-1 Values for A ECP determination</t>
  </si>
  <si>
    <t>Method for A ECP determination</t>
  </si>
  <si>
    <t>Level of Net cloth Area  (m²)</t>
  </si>
  <si>
    <t>Multiplicator factor for gross cloth area</t>
  </si>
  <si>
    <t>Total cloth area [Atot]</t>
  </si>
  <si>
    <t>Reference box ESP-2 Equipment cost in 2010 €</t>
  </si>
  <si>
    <t>Reference box ESP-3 cost using various materials</t>
  </si>
  <si>
    <t>Reference Box ESP-4  Calculated Utilities</t>
  </si>
  <si>
    <t>Cage price (€/m2)</t>
  </si>
  <si>
    <t>PE media price (€/m2)</t>
  </si>
  <si>
    <t>hours</t>
  </si>
  <si>
    <r>
      <t>Effective Collecting Plate Area [A</t>
    </r>
    <r>
      <rPr>
        <b/>
        <vertAlign val="subscript"/>
        <sz val="11"/>
        <color theme="1"/>
        <rFont val="Calibri"/>
        <family val="2"/>
        <scheme val="minor"/>
      </rPr>
      <t>ECP</t>
    </r>
    <r>
      <rPr>
        <b/>
        <sz val="11"/>
        <color theme="1"/>
        <rFont val="Calibri"/>
        <family val="2"/>
        <scheme val="minor"/>
      </rPr>
      <t>]</t>
    </r>
  </si>
  <si>
    <t>10-80</t>
  </si>
  <si>
    <t>SO3 injection rate (kg/h)</t>
  </si>
  <si>
    <t>Compartment division</t>
  </si>
  <si>
    <t>extra compartment</t>
  </si>
  <si>
    <t>0-2</t>
  </si>
  <si>
    <t>1-30</t>
  </si>
  <si>
    <t>Air-to-Cloth ratio (cm/s)</t>
  </si>
  <si>
    <t>1,00-2,33</t>
  </si>
  <si>
    <t>If PJFF is used after a dry FGD, then A/C should be in the following range :</t>
  </si>
  <si>
    <t>0,66-1,00</t>
  </si>
  <si>
    <t>Reference Box PJFF3 - Filter dimension</t>
  </si>
  <si>
    <t>Reference box PJFF5 - Bag cost factors for various materials</t>
  </si>
  <si>
    <t>Reference box PJFF1 - Air-to-Cloth ratio</t>
  </si>
  <si>
    <t>Reference box PJFF2 - Conversion Net to Gross Cloth Area</t>
  </si>
  <si>
    <r>
      <t xml:space="preserve">Reference box PJFF4 - Price parameters for baghouse compartments - </t>
    </r>
    <r>
      <rPr>
        <b/>
        <u/>
        <sz val="11"/>
        <color theme="1"/>
        <rFont val="Calibri"/>
        <family val="2"/>
        <scheme val="minor"/>
      </rPr>
      <t>2010 €</t>
    </r>
  </si>
  <si>
    <t>Reference Box PJFF6 - Price Utilities</t>
  </si>
  <si>
    <t>Reference Box PJFF7 - Filter dimension</t>
  </si>
  <si>
    <t>Reference Box PJFF8 - Data Utilities</t>
  </si>
  <si>
    <t>Evonik, ESP performance enhancements by SO3 conditioning-2011</t>
  </si>
  <si>
    <t>E-On Engineering</t>
  </si>
  <si>
    <t>Hamon</t>
  </si>
  <si>
    <t>E-On, Enel</t>
  </si>
  <si>
    <t>US EPA 2002</t>
  </si>
  <si>
    <t>Duke Energy</t>
  </si>
  <si>
    <t>Termokimik, E-On, Enel, Balcke Durr, Lurdi, Evonik</t>
  </si>
  <si>
    <t>US EPA</t>
  </si>
  <si>
    <t>Conversion with currency exchange rate at given date into EUR, time conversion with CEPCI to 2010 afterwards</t>
  </si>
  <si>
    <t>RAINS</t>
  </si>
  <si>
    <t>AEP</t>
  </si>
  <si>
    <t>Naldandian [Orfanoudakis]</t>
  </si>
  <si>
    <t>World bank</t>
  </si>
  <si>
    <t>PM BART determination [American Electric Power]</t>
  </si>
  <si>
    <t>Wu</t>
  </si>
  <si>
    <t>£</t>
  </si>
  <si>
    <t>$</t>
  </si>
  <si>
    <t>/</t>
  </si>
  <si>
    <t>Power unit</t>
  </si>
  <si>
    <t>kWe</t>
  </si>
  <si>
    <t>EURO 2010 / kWth</t>
  </si>
  <si>
    <t>Nalbandian</t>
  </si>
  <si>
    <t>Literature</t>
  </si>
  <si>
    <t>Currency year / power unit</t>
  </si>
  <si>
    <t>kWth</t>
  </si>
  <si>
    <t>Sankey</t>
  </si>
  <si>
    <t>Zevenhoven &amp; Kilpinen</t>
  </si>
  <si>
    <t>Nalbandian [Smith]</t>
  </si>
  <si>
    <t>Questionnary Plant D</t>
  </si>
  <si>
    <t>Rubin</t>
  </si>
  <si>
    <t>Us EPA 2002</t>
  </si>
  <si>
    <t>US EPA, Zevenhoven &amp; Kilpinen</t>
  </si>
  <si>
    <t>US EPA, Lesson 3</t>
  </si>
  <si>
    <t xml:space="preserve">Details on SO2 abatement techniques </t>
  </si>
  <si>
    <t>Choice of the emission reduction technique</t>
  </si>
  <si>
    <t>Equipment cost</t>
  </si>
  <si>
    <t>Direct installation cost</t>
  </si>
  <si>
    <t>Indirect installation cost</t>
  </si>
  <si>
    <t>Reference Box PJFF10 - Direct installation factors</t>
  </si>
  <si>
    <t>Instrumentation</t>
  </si>
  <si>
    <t>Freight</t>
  </si>
  <si>
    <t>Reference Box PJFF11 - Indirect installation factors</t>
  </si>
  <si>
    <t>Engineering</t>
  </si>
  <si>
    <t>Construction and filed expense</t>
  </si>
  <si>
    <t>Contractor fees</t>
  </si>
  <si>
    <t>Start-up</t>
  </si>
  <si>
    <t>Performance test</t>
  </si>
  <si>
    <t>Contingencies</t>
  </si>
  <si>
    <t>Reference Box ESP-6 SO3 conditionning</t>
  </si>
  <si>
    <t>Reference Box ESP-5 Direct installation factors</t>
  </si>
  <si>
    <t>Reference Box ESP6- Indirect installation factors</t>
  </si>
  <si>
    <t>Reference Box PJFF9 - Purchase equipment factors</t>
  </si>
  <si>
    <t>Reference Box ESP-5  Purchase equipment factors</t>
  </si>
  <si>
    <t>Construction and field expenses</t>
  </si>
  <si>
    <t>Model Study</t>
  </si>
  <si>
    <t xml:space="preserve">New SO2 outlet emissions </t>
  </si>
  <si>
    <t xml:space="preserve">Its efficiency can reach : </t>
  </si>
  <si>
    <t>SO2 emissions saved</t>
  </si>
  <si>
    <t>spec. SO2 reduction costs</t>
  </si>
  <si>
    <t>Secondary Measures - LSFO FGD (if LSFO FGD = Y)</t>
  </si>
  <si>
    <t>% Sulphur w/w real</t>
  </si>
  <si>
    <r>
      <t xml:space="preserve">Sulphur mass fraction [x real </t>
    </r>
    <r>
      <rPr>
        <vertAlign val="subscript"/>
        <sz val="11"/>
        <color theme="1"/>
        <rFont val="Arial"/>
        <family val="2"/>
      </rPr>
      <t>S</t>
    </r>
    <r>
      <rPr>
        <sz val="11"/>
        <color theme="1"/>
        <rFont val="Arial"/>
        <family val="2"/>
      </rPr>
      <t>]</t>
    </r>
  </si>
  <si>
    <t>kg SO2/GJ</t>
  </si>
  <si>
    <t>Gross heat rate [GHR]</t>
  </si>
  <si>
    <t>GJ/kWh</t>
  </si>
  <si>
    <r>
      <t>SO</t>
    </r>
    <r>
      <rPr>
        <vertAlign val="subscript"/>
        <sz val="11"/>
        <color theme="1"/>
        <rFont val="Arial"/>
        <family val="2"/>
      </rPr>
      <t>2</t>
    </r>
    <r>
      <rPr>
        <sz val="11"/>
        <color theme="1"/>
        <rFont val="Arial"/>
        <family val="2"/>
      </rPr>
      <t xml:space="preserve"> boiler outlet emissions [load</t>
    </r>
    <r>
      <rPr>
        <vertAlign val="superscript"/>
        <sz val="11"/>
        <color theme="1"/>
        <rFont val="Arial"/>
        <family val="2"/>
      </rPr>
      <t>bo</t>
    </r>
    <r>
      <rPr>
        <vertAlign val="subscript"/>
        <sz val="11"/>
        <color theme="1"/>
        <rFont val="Arial"/>
        <family val="2"/>
      </rPr>
      <t>SO2</t>
    </r>
    <r>
      <rPr>
        <sz val="11"/>
        <color theme="1"/>
        <rFont val="Arial"/>
        <family val="2"/>
      </rPr>
      <t>]</t>
    </r>
  </si>
  <si>
    <t>Retrofit factor</t>
  </si>
  <si>
    <t>Home office cost</t>
  </si>
  <si>
    <t>Total investment cost</t>
  </si>
  <si>
    <t>Electricity cost</t>
  </si>
  <si>
    <t>Electricity consumption</t>
  </si>
  <si>
    <t>Electricity price</t>
  </si>
  <si>
    <t>Reagent price</t>
  </si>
  <si>
    <t>Reagent consumption</t>
  </si>
  <si>
    <t>Reagent cost</t>
  </si>
  <si>
    <t>t CaCO3/t SO2</t>
  </si>
  <si>
    <t>Electricity penalty</t>
  </si>
  <si>
    <t>Spec.SO2 reduction cost</t>
  </si>
  <si>
    <t>Share capital costs to total costs</t>
  </si>
  <si>
    <t>Share operating costs to total costs</t>
  </si>
  <si>
    <t>Reference Box 1 - reagents</t>
  </si>
  <si>
    <t>CaCO3 prices depend on quantity bought and quality. From questionnaires, prices range from :</t>
  </si>
  <si>
    <t>Questionnaires</t>
  </si>
  <si>
    <t xml:space="preserve">see reference box 1, reagents </t>
  </si>
  <si>
    <t>11 to 16 €/CaCO3 in a 2465 MWth plant and 32 to 36€/t CaCO3 in a 630 MWth plant</t>
  </si>
  <si>
    <t>€/t CaCO3</t>
  </si>
  <si>
    <t>Purity of lime for LSD FGD</t>
  </si>
  <si>
    <t>Price of lime for LSD FGD</t>
  </si>
  <si>
    <t xml:space="preserve">Quicklime or CaO used in LSD FGD has a purity range from </t>
  </si>
  <si>
    <t>93 % is encountered</t>
  </si>
  <si>
    <t>Sargent and Lundy 2007</t>
  </si>
  <si>
    <t>By-products from LSFO FGD</t>
  </si>
  <si>
    <t>Price is about 5 times price of limestone.  Price range is 80 to 150  €/t CaO according to the specific surface</t>
  </si>
  <si>
    <t xml:space="preserve">Commercial price in case of valorisation </t>
  </si>
  <si>
    <t>€/t By-product</t>
  </si>
  <si>
    <t xml:space="preserve">see reference box 2, by products </t>
  </si>
  <si>
    <t>By-product disposal costs</t>
  </si>
  <si>
    <t>By-products from LSD FGD</t>
  </si>
  <si>
    <t>Reference Box 2 - by-products</t>
  </si>
  <si>
    <t>Reference Box 2 (following) - by-products</t>
  </si>
  <si>
    <t>Commercial grade gypsum can be used in wallboard, cement or plaster manufacturing, also soil</t>
  </si>
  <si>
    <t xml:space="preserve">If collected separately from fly ash, in case of retrofit and use of the ESP in place, dry by-product may be  </t>
  </si>
  <si>
    <t xml:space="preserve">conditioner. Price  can be low due to saturation of the market. Questionnaires provide a range between  </t>
  </si>
  <si>
    <t xml:space="preserve">land filled or used as soil conditioner. </t>
  </si>
  <si>
    <t>See reference box 3 - sulphur content of coals and prices</t>
  </si>
  <si>
    <t>0.15 to 2 €/t by-product.</t>
  </si>
  <si>
    <t xml:space="preserve">The predominant mode of dry FGD by-product elimination is disposal as fly ash separation is in fact </t>
  </si>
  <si>
    <t>still provisional</t>
  </si>
  <si>
    <t>Disposal prices depend on the waste disposal treatment. Landfill or other treatment such as incineration.</t>
  </si>
  <si>
    <t>rarely done.</t>
  </si>
  <si>
    <t>By product prices range from 0.33 to 89 €/t by-product according to the questionnaires obtained.</t>
  </si>
  <si>
    <t>Reduction required with secondary measure</t>
  </si>
  <si>
    <t>Reference box 3 - sulphur content of coal and prices</t>
  </si>
  <si>
    <t>Reference box 4 - FGD efficiency and range of application</t>
  </si>
  <si>
    <t>the sulphur content can be as low as 0,37 % w/w?</t>
  </si>
  <si>
    <t xml:space="preserve">LSD FGD typically used for : </t>
  </si>
  <si>
    <t xml:space="preserve"> plant lower than  (MWth)</t>
  </si>
  <si>
    <t>Inlet SO2 concentrations</t>
  </si>
  <si>
    <t>See reference box 4 - FGD efficiency and range of application</t>
  </si>
  <si>
    <t>Coal 2% S prices range from</t>
  </si>
  <si>
    <t>low and medium sulphur content fuels</t>
  </si>
  <si>
    <t>&lt; 1.5 %</t>
  </si>
  <si>
    <t>Nalbandian 2006</t>
  </si>
  <si>
    <t>Coal 1% S prices range from</t>
  </si>
  <si>
    <t>90 to 95 %</t>
  </si>
  <si>
    <t>Coal 0.5% S prices range from</t>
  </si>
  <si>
    <t>LSFO FGD can be applied</t>
  </si>
  <si>
    <t>Coal 0.3 % S prices range from</t>
  </si>
  <si>
    <t xml:space="preserve">all sulphur contents  </t>
  </si>
  <si>
    <t>All sulphur content</t>
  </si>
  <si>
    <t>Sargent and Lundy 2007, Nalbandian 2006</t>
  </si>
  <si>
    <t>Reference box 5 - retrofit factor</t>
  </si>
  <si>
    <t>See reference box 5 - retrofit factor</t>
  </si>
  <si>
    <t>retrofit factor can range from 1 to 1.4 in case of very congested site</t>
  </si>
  <si>
    <t>Coal factor</t>
  </si>
  <si>
    <t>Primary Measures - Low sulphur fuels</t>
  </si>
  <si>
    <t>t SO2/year</t>
  </si>
  <si>
    <t xml:space="preserve">Spec. Additional cost of low sulphur coal </t>
  </si>
  <si>
    <t>€/t coal</t>
  </si>
  <si>
    <t>No investment</t>
  </si>
  <si>
    <t>€/year</t>
  </si>
  <si>
    <t xml:space="preserve">Annual additional costs </t>
  </si>
  <si>
    <t xml:space="preserve">Total annual costs </t>
  </si>
  <si>
    <t>€/t SO2</t>
  </si>
  <si>
    <t>Is there valorisation of waste</t>
  </si>
  <si>
    <t>y/n</t>
  </si>
  <si>
    <t xml:space="preserve">Reference box 6 - investment </t>
  </si>
  <si>
    <t>Investment function derived from Sargent and Lundy 2010</t>
  </si>
  <si>
    <t>see reference box 6: investment</t>
  </si>
  <si>
    <t>Reference Box 7 - Fixed operating cost</t>
  </si>
  <si>
    <t>See reference Box 7 - Fixed operating cost</t>
  </si>
  <si>
    <t>Fixed operating cost ratio</t>
  </si>
  <si>
    <t>Sargent and Lundy 2010</t>
  </si>
  <si>
    <t>Specific limestone demand</t>
  </si>
  <si>
    <t>t CaCO3/year</t>
  </si>
  <si>
    <t>MWh/year</t>
  </si>
  <si>
    <t>By-product price</t>
  </si>
  <si>
    <t>€ / ton By-product</t>
  </si>
  <si>
    <t>See reference Box 2 - by-products</t>
  </si>
  <si>
    <t>By-product generated</t>
  </si>
  <si>
    <t>t By-product/t SO2 abated</t>
  </si>
  <si>
    <t>By-product amount</t>
  </si>
  <si>
    <t>by-product management cost</t>
  </si>
  <si>
    <t xml:space="preserve">Annual operating costs </t>
  </si>
  <si>
    <t>Summary for LSFO FGD</t>
  </si>
  <si>
    <t>SO2 emissions avoided</t>
  </si>
  <si>
    <t xml:space="preserve">outlet SO2 concentrations obtained </t>
  </si>
  <si>
    <t xml:space="preserve">inlet SO2 concentrations  </t>
  </si>
  <si>
    <t>Efficiency</t>
  </si>
  <si>
    <t xml:space="preserve">Total investment </t>
  </si>
  <si>
    <t>€/t SO2 abated</t>
  </si>
  <si>
    <t>Spec. investment per kWth</t>
  </si>
  <si>
    <t>Summary for low sulphur fuel and LSFO FGD</t>
  </si>
  <si>
    <t>€ / ton CaO</t>
  </si>
  <si>
    <t>t CaO/t SO2</t>
  </si>
  <si>
    <t>t CaO/year</t>
  </si>
  <si>
    <t>Summary for LSD FGD</t>
  </si>
  <si>
    <t>Summary for low sulphur fuel and LSD FGD</t>
  </si>
  <si>
    <t xml:space="preserve">Data for calculation </t>
  </si>
  <si>
    <t>LSFO Fixed operating cost %</t>
  </si>
  <si>
    <t>addition of FGD LSFO and LSD</t>
  </si>
  <si>
    <t>10/10 and 14/10</t>
  </si>
  <si>
    <t>NA</t>
  </si>
  <si>
    <t xml:space="preserve">last changes by jean-baptiste on </t>
  </si>
  <si>
    <t>Modification made on the file</t>
  </si>
  <si>
    <t>Date of modification</t>
  </si>
  <si>
    <t>Who</t>
  </si>
  <si>
    <t>JBV</t>
  </si>
  <si>
    <t>Oil fired units</t>
  </si>
  <si>
    <t>uncontrolled</t>
  </si>
  <si>
    <t>single primary measures</t>
  </si>
  <si>
    <t>multiple primary measures</t>
  </si>
  <si>
    <t>800  - 1000</t>
  </si>
  <si>
    <t>400 - 500</t>
  </si>
  <si>
    <t>gas fired units</t>
  </si>
  <si>
    <t>350 - 500</t>
  </si>
  <si>
    <t>&lt; 350</t>
  </si>
  <si>
    <t xml:space="preserve">&lt; 400 </t>
  </si>
  <si>
    <t>unknown.  
See spreadsheet "Solid Fuels NOx analysis" for orientation</t>
  </si>
  <si>
    <t>&lt; 50% of costs for new catalyst</t>
  </si>
  <si>
    <t>1.5-2.5</t>
  </si>
  <si>
    <t>Investment Data (Background Information) for COAL fired power plant</t>
  </si>
  <si>
    <t>including NOX for liquid and gaseous fuels</t>
  </si>
  <si>
    <t>AKM SSB</t>
  </si>
  <si>
    <t>Correction of retrofit calculation ESP and PJFF</t>
  </si>
  <si>
    <r>
      <t>Gross cloth area [A</t>
    </r>
    <r>
      <rPr>
        <vertAlign val="subscript"/>
        <sz val="11"/>
        <color theme="1"/>
        <rFont val="Calibri"/>
        <family val="2"/>
        <scheme val="minor"/>
      </rPr>
      <t>GC</t>
    </r>
    <r>
      <rPr>
        <sz val="11"/>
        <color theme="1"/>
        <rFont val="Calibri"/>
        <family val="2"/>
        <scheme val="minor"/>
      </rPr>
      <t>]</t>
    </r>
  </si>
  <si>
    <t>Number of compartments</t>
  </si>
  <si>
    <t>Correction of name definition in PJFF sheet</t>
  </si>
  <si>
    <t>Input factor for the test for coal</t>
  </si>
  <si>
    <t>Nm³ Flue Gas, stoich, dry/kg fuel</t>
  </si>
  <si>
    <r>
      <t>Oxygen concentration [c</t>
    </r>
    <r>
      <rPr>
        <vertAlign val="subscript"/>
        <sz val="11"/>
        <color theme="1"/>
        <rFont val="Arial"/>
        <family val="2"/>
      </rPr>
      <t>O2,act,dry</t>
    </r>
    <r>
      <rPr>
        <sz val="11"/>
        <color theme="1"/>
        <rFont val="Arial"/>
        <family val="2"/>
      </rPr>
      <t>]</t>
    </r>
  </si>
  <si>
    <r>
      <t>Spec. stoich. dry flue gas volume [v</t>
    </r>
    <r>
      <rPr>
        <vertAlign val="superscript"/>
        <sz val="11"/>
        <color theme="1"/>
        <rFont val="Arial"/>
        <family val="2"/>
      </rPr>
      <t>flue gas</t>
    </r>
    <r>
      <rPr>
        <vertAlign val="subscript"/>
        <sz val="11"/>
        <color theme="1"/>
        <rFont val="Arial"/>
        <family val="2"/>
      </rPr>
      <t>stoich,dry</t>
    </r>
    <r>
      <rPr>
        <sz val="11"/>
        <color theme="1"/>
        <rFont val="Arial"/>
        <family val="2"/>
      </rPr>
      <t>]</t>
    </r>
  </si>
  <si>
    <t>Nm³ Flue Gas, λ, wet/kg fuel</t>
  </si>
  <si>
    <t>Nm³ Flue Gas, stoich, dry/Nm³ gas</t>
  </si>
  <si>
    <t>Average H-mass fraction abs. in coal</t>
  </si>
  <si>
    <t>LHV [MJ/kg]</t>
  </si>
  <si>
    <t>S-content [%-w/w]</t>
  </si>
  <si>
    <t>Density [kg/l at 15°C]</t>
  </si>
  <si>
    <t>Empirical correlation to calculate LHV [Source: Strauß]</t>
  </si>
  <si>
    <t>and 40 €/t CaCO3 in another 630 MWth plant for similar purity of CaCO3 (94 % to 96 %)</t>
  </si>
  <si>
    <t>€/t CaO</t>
  </si>
  <si>
    <t>Reagent preparation unit cost</t>
  </si>
  <si>
    <t>Waste handling unit cost</t>
  </si>
  <si>
    <t>Base balance plant cost</t>
  </si>
  <si>
    <t>€/ton CaCO3</t>
  </si>
  <si>
    <t>€/ton By-product</t>
  </si>
  <si>
    <t>t By-product/year</t>
  </si>
  <si>
    <t>Absorber unit cost</t>
  </si>
  <si>
    <t>Reagent preparation and waste handling units cost</t>
  </si>
  <si>
    <t>Variable Operating costs</t>
  </si>
  <si>
    <t>Purity of limestone for LSFO FGD</t>
  </si>
  <si>
    <t>Price of limestone for LSFO FGD</t>
  </si>
  <si>
    <t>Purity of lime for DSI FGD</t>
  </si>
  <si>
    <t>Price of lime for DSI FGD</t>
  </si>
  <si>
    <t>Use of Sodium bicarbonate for DSI FGF</t>
  </si>
  <si>
    <t>Purity of sodium bicarbonate for DSI FGD</t>
  </si>
  <si>
    <t>Price of sodium bicarbonate for DSI FGD</t>
  </si>
  <si>
    <t>€/t sodium bicarbonate</t>
  </si>
  <si>
    <t>Price and purity to be completed for sodium bicarbonate</t>
  </si>
  <si>
    <t xml:space="preserve">LSD and DSI FDG: </t>
  </si>
  <si>
    <t>By-products from DSI FGD</t>
  </si>
  <si>
    <t>From lime</t>
  </si>
  <si>
    <t>From sodium bicarbonate</t>
  </si>
  <si>
    <t>Dust emissions avoided</t>
  </si>
  <si>
    <t>By-products from PJFF</t>
  </si>
  <si>
    <t>Reference box PJFF0 - By-products</t>
  </si>
  <si>
    <r>
      <t>Sale prices range from 0.35 €/t to 6 €/t. In case of disposal, p</t>
    </r>
    <r>
      <rPr>
        <sz val="11"/>
        <color rgb="FF000000"/>
        <rFont val="Arial"/>
        <family val="2"/>
      </rPr>
      <t xml:space="preserve">rice is around 3.75 </t>
    </r>
    <r>
      <rPr>
        <sz val="11"/>
        <color theme="1"/>
        <rFont val="Arial"/>
        <family val="2"/>
      </rPr>
      <t>€/t</t>
    </r>
    <r>
      <rPr>
        <sz val="11"/>
        <color rgb="FF000000"/>
        <rFont val="Arial"/>
        <family val="2"/>
      </rPr>
      <t>.</t>
    </r>
  </si>
  <si>
    <t xml:space="preserve">Fly ashes can be reused for cement production and public work applications. </t>
  </si>
  <si>
    <t>Utility electricity cost</t>
  </si>
  <si>
    <t>Variable Operating Costs</t>
  </si>
  <si>
    <t>By-product management cost</t>
  </si>
  <si>
    <t>By-Product management cost</t>
  </si>
  <si>
    <t>questionnaires</t>
  </si>
  <si>
    <t>Is there valorisation of by-products?</t>
  </si>
  <si>
    <t>By-products from ESP</t>
  </si>
  <si>
    <t>Reference box 0 ESP - By-products</t>
  </si>
  <si>
    <t>Inlet SO2 concentration</t>
  </si>
  <si>
    <t>mg/Nm³, O2ref, dry</t>
  </si>
  <si>
    <t>Total reduction required</t>
  </si>
  <si>
    <t xml:space="preserve">Secondary Measures - DSI FGD </t>
  </si>
  <si>
    <t>mg by-product/Nm3, dry, refO2</t>
  </si>
  <si>
    <t xml:space="preserve">PJFF </t>
  </si>
  <si>
    <t>Total investment for DSI FGD</t>
  </si>
  <si>
    <t xml:space="preserve">Used with DSI FGD. Do not change any parameter </t>
  </si>
  <si>
    <t>By-product amount recovered with PJFF</t>
  </si>
  <si>
    <t>By-product concentration (inlet FF)</t>
  </si>
  <si>
    <t>t By-product produced/year</t>
  </si>
  <si>
    <t>t By-product recovered/year</t>
  </si>
  <si>
    <t>Electricity cost (PJFF)</t>
  </si>
  <si>
    <t xml:space="preserve">Electricity cost </t>
  </si>
  <si>
    <t xml:space="preserve">Bag replacement cost </t>
  </si>
  <si>
    <t>De SOx efficiency</t>
  </si>
  <si>
    <t>Summary for DSI FGD</t>
  </si>
  <si>
    <t>Coal factor is 1 for coals and 1.07 for lignites</t>
  </si>
  <si>
    <t>small changes on some sheets</t>
  </si>
  <si>
    <t>addition of DSI FGD and correction of some</t>
  </si>
  <si>
    <t>cells in sheet ESP for liquid fuels</t>
  </si>
  <si>
    <t>addition of by-product management for dedusters</t>
  </si>
  <si>
    <t>Summary for low sulphur fuel and DSI FGD</t>
  </si>
  <si>
    <t>Nm³ flue gas,wet,λ / kg Fuel</t>
  </si>
  <si>
    <t>Nm³ Flue Gas,dry,λ /kg Fuel</t>
  </si>
  <si>
    <t>Correction Calculation of O2-Correction Factor</t>
  </si>
  <si>
    <t>SSB</t>
  </si>
  <si>
    <t>Change Liq-Fuels Emission Calculation wet/dry spec. Flue gas</t>
  </si>
  <si>
    <r>
      <t>mg/Nm³ NO</t>
    </r>
    <r>
      <rPr>
        <vertAlign val="subscript"/>
        <sz val="11"/>
        <color theme="1"/>
        <rFont val="Arial"/>
        <family val="2"/>
      </rPr>
      <t>x</t>
    </r>
    <r>
      <rPr>
        <sz val="11"/>
        <color theme="1"/>
        <rFont val="Arial"/>
        <family val="2"/>
      </rPr>
      <t>, dry, act O</t>
    </r>
    <r>
      <rPr>
        <vertAlign val="subscript"/>
        <sz val="11"/>
        <color theme="1"/>
        <rFont val="Arial"/>
        <family val="2"/>
      </rPr>
      <t>2</t>
    </r>
    <r>
      <rPr>
        <sz val="11"/>
        <color theme="1"/>
        <rFont val="Arial"/>
        <family val="2"/>
      </rPr>
      <t>-%</t>
    </r>
  </si>
  <si>
    <t>NOx emissions before 2° measures</t>
  </si>
  <si>
    <t>Fuel Spec. Used</t>
  </si>
  <si>
    <t>Do you want to install SCR?</t>
  </si>
  <si>
    <t>CHECK</t>
  </si>
  <si>
    <t>Conclusion of technology choice</t>
  </si>
  <si>
    <t>Anhydrous NH3 (Y/N)</t>
  </si>
  <si>
    <t>Does literature suggest SNCR?</t>
  </si>
  <si>
    <t>correction following the CEFIC meeting</t>
  </si>
  <si>
    <t>By-product disposal (or other destination) costs</t>
  </si>
  <si>
    <t>pulverised dry form</t>
  </si>
  <si>
    <t>40 €/t bp</t>
  </si>
  <si>
    <t xml:space="preserve">According to one expert, cost for waste disposal may reach 200 €/t bp due to the fact the product is in a </t>
  </si>
  <si>
    <t xml:space="preserve">When sold to the cement industry if the product is without fly ash, a positive cost may be encountered, </t>
  </si>
  <si>
    <t>Dust inlet concentration</t>
  </si>
  <si>
    <t>Inlet dust concentration</t>
  </si>
  <si>
    <t>B</t>
  </si>
  <si>
    <t xml:space="preserve">No capital cost </t>
  </si>
  <si>
    <t>Efficiency required</t>
  </si>
  <si>
    <t>LSFO FGD (Y/N)</t>
  </si>
  <si>
    <t>LSD FGD (Y/N)</t>
  </si>
  <si>
    <t>DSI FGD (Y/N)</t>
  </si>
  <si>
    <t>Gap-Closure to emission goal (% of Cell D7)</t>
  </si>
  <si>
    <t>Concentration achieved with low sulphur content fuel</t>
  </si>
  <si>
    <t xml:space="preserve">Outlet SO2 concentrations obtained </t>
  </si>
  <si>
    <t xml:space="preserve">Inlet SO2 concentrations  </t>
  </si>
  <si>
    <t>Secondary Measures - LSD FGD (if LSD FGD = Y)</t>
  </si>
  <si>
    <r>
      <t>mg/Nm³ SO</t>
    </r>
    <r>
      <rPr>
        <vertAlign val="subscript"/>
        <sz val="11"/>
        <color theme="1"/>
        <rFont val="Arial"/>
        <family val="2"/>
      </rPr>
      <t>2</t>
    </r>
    <r>
      <rPr>
        <sz val="11"/>
        <color theme="1"/>
        <rFont val="Arial"/>
        <family val="2"/>
      </rPr>
      <t>, dry, ref O</t>
    </r>
    <r>
      <rPr>
        <vertAlign val="subscript"/>
        <sz val="11"/>
        <color theme="1"/>
        <rFont val="Arial"/>
        <family val="2"/>
      </rPr>
      <t>2</t>
    </r>
  </si>
  <si>
    <r>
      <t>O</t>
    </r>
    <r>
      <rPr>
        <vertAlign val="subscript"/>
        <sz val="11"/>
        <color theme="1"/>
        <rFont val="Arial"/>
        <family val="2"/>
      </rPr>
      <t>2</t>
    </r>
    <r>
      <rPr>
        <sz val="11"/>
        <color theme="1"/>
        <rFont val="Arial"/>
        <family val="2"/>
      </rPr>
      <t xml:space="preserve"> corr. Factor to ref. O</t>
    </r>
    <r>
      <rPr>
        <vertAlign val="subscript"/>
        <sz val="11"/>
        <color theme="1"/>
        <rFont val="Arial"/>
        <family val="2"/>
      </rPr>
      <t>2</t>
    </r>
    <r>
      <rPr>
        <sz val="11"/>
        <color theme="1"/>
        <rFont val="Arial"/>
        <family val="2"/>
      </rPr>
      <t xml:space="preserve"> </t>
    </r>
  </si>
  <si>
    <r>
      <t>mg/Nm³ NO</t>
    </r>
    <r>
      <rPr>
        <vertAlign val="subscript"/>
        <sz val="11"/>
        <color theme="1"/>
        <rFont val="Arial"/>
        <family val="2"/>
      </rPr>
      <t>x</t>
    </r>
    <r>
      <rPr>
        <sz val="11"/>
        <color theme="1"/>
        <rFont val="Arial"/>
        <family val="2"/>
      </rPr>
      <t>, dry, ref O</t>
    </r>
    <r>
      <rPr>
        <vertAlign val="subscript"/>
        <sz val="11"/>
        <color theme="1"/>
        <rFont val="Arial"/>
        <family val="2"/>
      </rPr>
      <t>2</t>
    </r>
  </si>
  <si>
    <r>
      <t>mg/Nm³ dust, dry, ref O</t>
    </r>
    <r>
      <rPr>
        <vertAlign val="subscript"/>
        <sz val="11"/>
        <color theme="1"/>
        <rFont val="Arial"/>
        <family val="2"/>
      </rPr>
      <t>2</t>
    </r>
  </si>
  <si>
    <r>
      <t>SO</t>
    </r>
    <r>
      <rPr>
        <vertAlign val="subscript"/>
        <sz val="11"/>
        <color theme="1"/>
        <rFont val="Arial"/>
        <family val="2"/>
      </rPr>
      <t>2</t>
    </r>
    <r>
      <rPr>
        <sz val="11"/>
        <color theme="1"/>
        <rFont val="Arial"/>
        <family val="2"/>
      </rPr>
      <t xml:space="preserve"> boiler outlet emissions [load</t>
    </r>
    <r>
      <rPr>
        <vertAlign val="superscript"/>
        <sz val="11"/>
        <color theme="1"/>
        <rFont val="Arial"/>
        <family val="2"/>
      </rPr>
      <t>bo</t>
    </r>
    <r>
      <rPr>
        <vertAlign val="subscript"/>
        <sz val="11"/>
        <color theme="1"/>
        <rFont val="Arial"/>
        <family val="2"/>
      </rPr>
      <t>SO2,dry,02 act</t>
    </r>
    <r>
      <rPr>
        <sz val="11"/>
        <color theme="1"/>
        <rFont val="Arial"/>
        <family val="2"/>
      </rPr>
      <t>]</t>
    </r>
  </si>
  <si>
    <r>
      <t>Dust boiler outlet emissions [load</t>
    </r>
    <r>
      <rPr>
        <vertAlign val="superscript"/>
        <sz val="11"/>
        <color theme="1"/>
        <rFont val="Arial"/>
        <family val="2"/>
      </rPr>
      <t>bo</t>
    </r>
    <r>
      <rPr>
        <vertAlign val="subscript"/>
        <sz val="11"/>
        <color theme="1"/>
        <rFont val="Arial"/>
        <family val="2"/>
      </rPr>
      <t>ash,dry,02 act</t>
    </r>
    <r>
      <rPr>
        <sz val="11"/>
        <color theme="1"/>
        <rFont val="Arial"/>
        <family val="2"/>
      </rPr>
      <t>]</t>
    </r>
  </si>
  <si>
    <r>
      <t>SO</t>
    </r>
    <r>
      <rPr>
        <vertAlign val="subscript"/>
        <sz val="11"/>
        <color theme="1"/>
        <rFont val="Arial"/>
        <family val="2"/>
      </rPr>
      <t>2</t>
    </r>
    <r>
      <rPr>
        <sz val="11"/>
        <color theme="1"/>
        <rFont val="Arial"/>
        <family val="2"/>
      </rPr>
      <t xml:space="preserve"> boiler outlet emissions [load</t>
    </r>
    <r>
      <rPr>
        <vertAlign val="superscript"/>
        <sz val="11"/>
        <color theme="1"/>
        <rFont val="Arial"/>
        <family val="2"/>
      </rPr>
      <t>bo</t>
    </r>
    <r>
      <rPr>
        <vertAlign val="subscript"/>
        <sz val="11"/>
        <color theme="1"/>
        <rFont val="Arial"/>
        <family val="2"/>
      </rPr>
      <t>SO2,dry,refO2</t>
    </r>
    <r>
      <rPr>
        <sz val="11"/>
        <color theme="1"/>
        <rFont val="Arial"/>
        <family val="2"/>
      </rPr>
      <t>]</t>
    </r>
  </si>
  <si>
    <r>
      <t>NO</t>
    </r>
    <r>
      <rPr>
        <vertAlign val="subscript"/>
        <sz val="11"/>
        <color theme="1"/>
        <rFont val="Arial"/>
        <family val="2"/>
      </rPr>
      <t>x</t>
    </r>
    <r>
      <rPr>
        <sz val="11"/>
        <color theme="1"/>
        <rFont val="Arial"/>
        <family val="2"/>
      </rPr>
      <t xml:space="preserve"> boiler outlet emissions [load</t>
    </r>
    <r>
      <rPr>
        <vertAlign val="superscript"/>
        <sz val="11"/>
        <color theme="1"/>
        <rFont val="Arial"/>
        <family val="2"/>
      </rPr>
      <t>bo</t>
    </r>
    <r>
      <rPr>
        <vertAlign val="subscript"/>
        <sz val="11"/>
        <color theme="1"/>
        <rFont val="Arial"/>
        <family val="2"/>
      </rPr>
      <t>NOx,dry,refO2</t>
    </r>
    <r>
      <rPr>
        <sz val="11"/>
        <color theme="1"/>
        <rFont val="Arial"/>
        <family val="2"/>
      </rPr>
      <t>]</t>
    </r>
  </si>
  <si>
    <r>
      <t>Dust boiler outlet emissions [load</t>
    </r>
    <r>
      <rPr>
        <vertAlign val="superscript"/>
        <sz val="11"/>
        <color theme="1"/>
        <rFont val="Arial"/>
        <family val="2"/>
      </rPr>
      <t>bo</t>
    </r>
    <r>
      <rPr>
        <vertAlign val="subscript"/>
        <sz val="11"/>
        <color theme="1"/>
        <rFont val="Arial"/>
        <family val="2"/>
      </rPr>
      <t>ash,dry,refO2</t>
    </r>
    <r>
      <rPr>
        <sz val="11"/>
        <color theme="1"/>
        <rFont val="Arial"/>
        <family val="2"/>
      </rPr>
      <t>]</t>
    </r>
  </si>
  <si>
    <t>mg/Nm³, ref O2, dry</t>
  </si>
  <si>
    <t>Do you want to use a lower sulphur content coal?</t>
  </si>
  <si>
    <t>What is the sulphur content of the low sulphur coal?</t>
  </si>
  <si>
    <t>Do you want to estimate costs for LSFO FGD?</t>
  </si>
  <si>
    <t>Do you want to estimate costs for LSD FGD?</t>
  </si>
  <si>
    <t>Do you want to estimate costs for DSI FGD?</t>
  </si>
  <si>
    <t>By product emissions avoided</t>
  </si>
  <si>
    <t>Air compressor electricity consumption</t>
  </si>
  <si>
    <t>changes made all pointed in red for explanations</t>
  </si>
  <si>
    <r>
      <t>Catalyst Cost &amp; Design Data for</t>
    </r>
    <r>
      <rPr>
        <b/>
        <u/>
        <sz val="11"/>
        <color theme="1"/>
        <rFont val="Arial"/>
        <family val="2"/>
      </rPr>
      <t xml:space="preserve"> Hard Coal Fired Units</t>
    </r>
  </si>
  <si>
    <r>
      <t xml:space="preserve">Investment Data (Background Information) for </t>
    </r>
    <r>
      <rPr>
        <b/>
        <u/>
        <sz val="16"/>
        <color theme="1"/>
        <rFont val="Arial"/>
        <family val="2"/>
      </rPr>
      <t>COAL fired power plant</t>
    </r>
  </si>
  <si>
    <r>
      <t>Investment Data (Background Information) for</t>
    </r>
    <r>
      <rPr>
        <b/>
        <u/>
        <sz val="16"/>
        <color theme="1"/>
        <rFont val="Arial"/>
        <family val="2"/>
      </rPr>
      <t xml:space="preserve"> COAL fired power plant</t>
    </r>
  </si>
  <si>
    <t xml:space="preserve">varying </t>
  </si>
  <si>
    <t>% moisture</t>
  </si>
  <si>
    <t>Corrections AKM et SS</t>
  </si>
  <si>
    <t>aditions NA</t>
  </si>
  <si>
    <t>Do you want to use a lower sulphur content fuel?</t>
  </si>
  <si>
    <t>What is the sulphur content of the low sulphur fuel?</t>
  </si>
  <si>
    <t>Reference box 3 - sulphur content of fuel and prices</t>
  </si>
  <si>
    <t>Heavy fuel oil with high sulphur content (2,9%)</t>
  </si>
  <si>
    <t>Heavy fuel oil with medium sulphur content (1,35%)</t>
  </si>
  <si>
    <t>Heavy fuel oil with lowsulphur content (0,9%)</t>
  </si>
  <si>
    <t>Heavy fuel oil with very low sulphur content (0,5%)</t>
  </si>
  <si>
    <t>heavy fouel oil  Spec. Used:</t>
  </si>
  <si>
    <t>t fuel/year</t>
  </si>
  <si>
    <t>t coal/year</t>
  </si>
  <si>
    <t>Nm³ Flue Gas,wet,λ /kg fuel</t>
  </si>
  <si>
    <t>Nm³ flue gas,dry,λ / kg fuel</t>
  </si>
  <si>
    <t>Volumetric gas flow [vflue gasλ,dry]</t>
  </si>
  <si>
    <t>Nm³ Flue Gas,dry,λ / s</t>
  </si>
  <si>
    <t>Nm³ Flue Gas,dry,λ /sec</t>
  </si>
  <si>
    <t>Cage price (€/m2 filtering media)</t>
  </si>
  <si>
    <t>Summary for PJFF</t>
  </si>
  <si>
    <t>TSP emissions avoided</t>
  </si>
  <si>
    <t>Spec.TSP reduction cost</t>
  </si>
  <si>
    <t>t TSP/year</t>
  </si>
  <si>
    <r>
      <t>mg/Nm³ TSP, dry, ref O</t>
    </r>
    <r>
      <rPr>
        <b/>
        <vertAlign val="subscript"/>
        <sz val="11"/>
        <color theme="1"/>
        <rFont val="Arial"/>
        <family val="2"/>
      </rPr>
      <t>2</t>
    </r>
    <r>
      <rPr>
        <b/>
        <sz val="11"/>
        <color theme="1"/>
        <rFont val="Arial"/>
        <family val="2"/>
      </rPr>
      <t>-%</t>
    </r>
  </si>
  <si>
    <r>
      <t xml:space="preserve">mg/Nm³ </t>
    </r>
    <r>
      <rPr>
        <b/>
        <sz val="11"/>
        <color theme="1"/>
        <rFont val="Arial"/>
        <family val="2"/>
      </rPr>
      <t>TSP, ref O</t>
    </r>
    <r>
      <rPr>
        <b/>
        <vertAlign val="subscript"/>
        <sz val="11"/>
        <color theme="1"/>
        <rFont val="Arial"/>
        <family val="2"/>
      </rPr>
      <t>2</t>
    </r>
    <r>
      <rPr>
        <b/>
        <sz val="11"/>
        <color theme="1"/>
        <rFont val="Arial"/>
        <family val="2"/>
      </rPr>
      <t>-%</t>
    </r>
  </si>
  <si>
    <t>Total variable costs</t>
  </si>
  <si>
    <t>€/t TSP abated</t>
  </si>
  <si>
    <t>Cage price per m2 filtering media</t>
  </si>
  <si>
    <t>€/m2 filtering media</t>
  </si>
  <si>
    <t>bp emissions avoided</t>
  </si>
  <si>
    <t xml:space="preserve">Inlet bp concentrations  </t>
  </si>
  <si>
    <t xml:space="preserve">outlet TSP concentrations  </t>
  </si>
  <si>
    <t xml:space="preserve">inlet TSP concentrations </t>
  </si>
  <si>
    <t xml:space="preserve">Outlet bp concentrations  </t>
  </si>
  <si>
    <t>Spec.by reduction cost</t>
  </si>
  <si>
    <t>€/t bp abated</t>
  </si>
  <si>
    <t>t bp/year</t>
  </si>
  <si>
    <t>mg/Nm³ bp, dry, ref O2-%</t>
  </si>
  <si>
    <t>mg/Nm³ bp, ref O2-%</t>
  </si>
  <si>
    <t>Changes for Dry FGD</t>
  </si>
  <si>
    <t>Dust stack emission to be obtained</t>
  </si>
  <si>
    <t>mg/Nm³,02 ref,dry</t>
  </si>
  <si>
    <t>Input data for the plant to be tested</t>
  </si>
  <si>
    <t>For a plant using coal and or biomass</t>
  </si>
  <si>
    <t>Sheet Liquid fuels - emission calc.</t>
  </si>
  <si>
    <t>Sheet Solid fuels - emission calc.</t>
  </si>
  <si>
    <t>Sheet Natural gas - emission calc.</t>
  </si>
  <si>
    <t>For a plant using heavy fuel oil</t>
  </si>
  <si>
    <t>For a plant using natural gas</t>
  </si>
  <si>
    <t xml:space="preserve">Results </t>
  </si>
  <si>
    <t>Solid fuels - NOx Analysis</t>
  </si>
  <si>
    <t>Costs of DeNOx techniques for plant using heavy fuel oil</t>
  </si>
  <si>
    <t>Costs of DeNOx techniques for plant using natural gas</t>
  </si>
  <si>
    <t>Liquid fuels - NOx Analysis</t>
  </si>
  <si>
    <t>Natural gas - NOx Analysis</t>
  </si>
  <si>
    <t>Costs of ESP for plant using heavy fuel oil</t>
  </si>
  <si>
    <t>Solid fuels_Fabric_Filter</t>
  </si>
  <si>
    <t>Solid fuels_ESP</t>
  </si>
  <si>
    <t>Liquid fuels_ESP</t>
  </si>
  <si>
    <t>Costs of ESP for plant using coal and biomass</t>
  </si>
  <si>
    <t>Costs of DeNOx techniques for plant using coal and biomass</t>
  </si>
  <si>
    <t>Costs of fabric filters for plant using coal and biomass</t>
  </si>
  <si>
    <t>Costs of LSFO FGD and LSD FGD for plants using coal and biomass</t>
  </si>
  <si>
    <t>Costs of DSI FGD for plants using coal and biomass</t>
  </si>
  <si>
    <t xml:space="preserve">Solid fuels_DeSO2 </t>
  </si>
  <si>
    <t xml:space="preserve">Solid fuels_DeSO2 + Solid fuel_Fabric_Filter DSI </t>
  </si>
  <si>
    <t>Costs of LSFO FGD and LSD FGD for plants using heavy fuel oils</t>
  </si>
  <si>
    <t>Costs of DSI FGD for plants using heavy fuel oils</t>
  </si>
  <si>
    <t>Liquid fuels_DeSO2</t>
  </si>
  <si>
    <t>Liquid fuels_DeSO2  + Liquid fuel_Fabric_Filter DSI</t>
  </si>
  <si>
    <t>Sheet  to be filled with data</t>
  </si>
  <si>
    <t>and results of cost estimation</t>
  </si>
  <si>
    <t xml:space="preserve">How to use the file : </t>
  </si>
  <si>
    <t>Boiler characteristics</t>
  </si>
  <si>
    <t>Use of Broad or detailed characteristics of fuels</t>
  </si>
  <si>
    <t>Start to fill in the characteristics of the plant to be tested and fuels used in this plant</t>
  </si>
  <si>
    <t>Reference O2 content</t>
  </si>
  <si>
    <t>fixed O&amp;M costs in %</t>
  </si>
  <si>
    <t>Sheet to be filled for parameters characterising the reduction technique</t>
  </si>
  <si>
    <t>Broad coal composition or detailed coal composition</t>
  </si>
  <si>
    <t>Step 1</t>
  </si>
  <si>
    <t>For coal, biomass and heavy fuel oil plants</t>
  </si>
  <si>
    <t>For natural gas plants</t>
  </si>
  <si>
    <t>Step 2</t>
  </si>
  <si>
    <t>Observe the results in green cells.</t>
  </si>
  <si>
    <t>Fill requested data appearing in blue cells. Data requested different from technique to technique</t>
  </si>
  <si>
    <t>Biomass co-firng (not with heavy fuel oil)</t>
  </si>
  <si>
    <t>Peak Load</t>
  </si>
  <si>
    <t>Stoichiometric Ratio (Literature)</t>
  </si>
  <si>
    <t>Sargent et Lundy</t>
  </si>
  <si>
    <t>Reference Box ESP-6 SO3 conditioning</t>
  </si>
  <si>
    <t xml:space="preserve">for all sizes of plant but is preferably used for the largest ones  </t>
  </si>
  <si>
    <t>Continue with the sheet of results adapted to the case to be tested.</t>
  </si>
  <si>
    <t>Pre-assembled unit or field assembled unit ?</t>
  </si>
  <si>
    <t>Pre-assembled unit</t>
  </si>
  <si>
    <t>Field assembled unit</t>
  </si>
  <si>
    <r>
      <t>Total cloth area should not exceed 2000 m² [</t>
    </r>
    <r>
      <rPr>
        <i/>
        <sz val="11"/>
        <color theme="1"/>
        <rFont val="Calibri"/>
        <family val="2"/>
        <scheme val="minor"/>
      </rPr>
      <t>Hamon</t>
    </r>
    <r>
      <rPr>
        <sz val="11"/>
        <color theme="1"/>
        <rFont val="Calibri"/>
        <family val="2"/>
        <scheme val="minor"/>
      </rPr>
      <t>]</t>
    </r>
  </si>
  <si>
    <r>
      <t>NO</t>
    </r>
    <r>
      <rPr>
        <vertAlign val="subscript"/>
        <sz val="11"/>
        <color theme="1"/>
        <rFont val="Arial"/>
        <family val="2"/>
      </rPr>
      <t>x</t>
    </r>
    <r>
      <rPr>
        <sz val="11"/>
        <color theme="1"/>
        <rFont val="Arial"/>
        <family val="2"/>
      </rPr>
      <t xml:space="preserve"> ELV (for goal achievement calculation)</t>
    </r>
  </si>
  <si>
    <r>
      <t>equivalent NO</t>
    </r>
    <r>
      <rPr>
        <vertAlign val="subscript"/>
        <sz val="11"/>
        <color theme="1"/>
        <rFont val="Arial"/>
        <family val="2"/>
      </rPr>
      <t>x</t>
    </r>
    <r>
      <rPr>
        <sz val="11"/>
        <color theme="1"/>
        <rFont val="Arial"/>
        <family val="2"/>
      </rPr>
      <t xml:space="preserve"> ELV at actual O2-%</t>
    </r>
  </si>
  <si>
    <t>Gap-Closure to emission goal (%)</t>
  </si>
  <si>
    <t>NOx stack emissions with selected technologies</t>
  </si>
  <si>
    <t>The technology choice is suitable</t>
  </si>
  <si>
    <t>The technology choice fits with the emission goals</t>
  </si>
  <si>
    <t>Correction of equation  4-12 in fabric filter sheet</t>
  </si>
  <si>
    <t>Correction on sheet solid fuels_fabric _filter</t>
  </si>
  <si>
    <t>Which dust concentration (at stack) do you want to achieve?</t>
  </si>
  <si>
    <t>line 11 emission replaced by concentration</t>
  </si>
  <si>
    <t>Dust stack concentration to be obtained</t>
  </si>
  <si>
    <t>line 12 emission replaced by concentration</t>
  </si>
  <si>
    <t>line 42 colour blue</t>
  </si>
  <si>
    <t>Is it a new combustion plant?</t>
  </si>
  <si>
    <t>line 83 Is it a new PJFF unit? Replaced by it is a new combustion plant?</t>
  </si>
  <si>
    <t>line 96 life by lifetime</t>
  </si>
  <si>
    <t>Bag-lifetime</t>
  </si>
  <si>
    <t xml:space="preserve">Inlet TSP concentrations </t>
  </si>
  <si>
    <t xml:space="preserve">Outlet TSP concentrations  </t>
  </si>
  <si>
    <t>Which dust concenration (at stack) do you want to achieve?</t>
  </si>
  <si>
    <t>Correction on sheet solid fuels_ESP</t>
  </si>
  <si>
    <t>line 8 emission replaced by concentration</t>
  </si>
  <si>
    <t>line 9 emission replaced by concentration</t>
  </si>
  <si>
    <t>line 46 Is it a new PJFF unit? Replaced by it is a new combustion plant?</t>
  </si>
  <si>
    <t>Correction on sheet liquid fuels_ESP</t>
  </si>
  <si>
    <t>Solid_fuels_DeSO2</t>
  </si>
  <si>
    <t>line 5 emission replaced by concentration</t>
  </si>
  <si>
    <t>line 6 emission replaced by concentration</t>
  </si>
  <si>
    <t>Which SO2 concentration (at stack) do you want to achieve?</t>
  </si>
  <si>
    <t>Reagent and by-product characteristics and prices</t>
  </si>
  <si>
    <t>lines 9 addition of characteristics</t>
  </si>
  <si>
    <t>Spec. SO2 reduction costs</t>
  </si>
  <si>
    <t xml:space="preserve">Total cost for LSFO FGD unit </t>
  </si>
  <si>
    <t xml:space="preserve">line 92 Total cost for LSFO FGD unit </t>
  </si>
  <si>
    <t>Line 158</t>
  </si>
  <si>
    <t>Reagent preparation unit, injection device unit cost</t>
  </si>
  <si>
    <t>Which dust concentration  (at stack) do you want to achieve?</t>
  </si>
  <si>
    <t>Solid_fuels_fabric_filter_DSI</t>
  </si>
  <si>
    <t>Liquid_fuels_DeSO2</t>
  </si>
  <si>
    <t>Liquid_fuels_fabric_filter_DSI</t>
  </si>
  <si>
    <t>Reagent and by-product charactristics and prices</t>
  </si>
  <si>
    <t xml:space="preserve">Spec. Additional cost of low sulphur fuel </t>
  </si>
  <si>
    <t xml:space="preserve">line 74 coal replaced by fuel </t>
  </si>
  <si>
    <t>Total cost for LSFO FGD unit</t>
  </si>
  <si>
    <t>Total cost for LSD FGD unit</t>
  </si>
  <si>
    <t>Correction sur D193 et D207 (n'allaient pas prendre D79)</t>
  </si>
  <si>
    <t>Cell D38 link to the solid fuel sheet replaced by the liquid fuel sheet</t>
  </si>
  <si>
    <t>Correction sur D191, 192, 193, 207, 125, 126, 225, 252, 253</t>
  </si>
  <si>
    <t>correction link sur D111, 112, 87</t>
  </si>
  <si>
    <t>SO2 stack concentration target</t>
  </si>
  <si>
    <t>Total cost for  LSD FGD unit</t>
  </si>
  <si>
    <t>c170 lime instead of limestone</t>
  </si>
  <si>
    <t>Specific reagent demand</t>
  </si>
  <si>
    <t>c170 et C229 reagent instead of limestone</t>
  </si>
  <si>
    <t>Line 88 : C40 eliminated</t>
  </si>
  <si>
    <t>D47-47-50 and 51 modification of the equation as the change in the choice SS or insulation was not working</t>
  </si>
  <si>
    <r>
      <rPr>
        <b/>
        <sz val="11"/>
        <rFont val="Arial"/>
        <family val="2"/>
      </rPr>
      <t>CaCO3</t>
    </r>
    <r>
      <rPr>
        <sz val="11"/>
        <rFont val="Arial"/>
        <family val="2"/>
      </rPr>
      <t xml:space="preserve"> purity may range from 90 to 98 %. From questionnaires 94 to 96 % are observed in 4 plants</t>
    </r>
  </si>
  <si>
    <r>
      <rPr>
        <b/>
        <sz val="11"/>
        <rFont val="Arial"/>
        <family val="2"/>
      </rPr>
      <t>LSFO FGD</t>
    </r>
    <r>
      <rPr>
        <sz val="11"/>
        <rFont val="Arial"/>
        <family val="2"/>
      </rPr>
      <t>: commercial-grade gypsum price depends on chlorine content, purity, colour.</t>
    </r>
  </si>
  <si>
    <r>
      <t>Lower Heating Value [LHV</t>
    </r>
    <r>
      <rPr>
        <vertAlign val="superscript"/>
        <sz val="11"/>
        <rFont val="Arial"/>
        <family val="2"/>
      </rPr>
      <t>fuel</t>
    </r>
    <r>
      <rPr>
        <sz val="11"/>
        <rFont val="Arial"/>
        <family val="2"/>
      </rPr>
      <t>]</t>
    </r>
  </si>
  <si>
    <r>
      <t>Sulphur mass fraction [x</t>
    </r>
    <r>
      <rPr>
        <vertAlign val="subscript"/>
        <sz val="11"/>
        <rFont val="Arial"/>
        <family val="2"/>
      </rPr>
      <t>S</t>
    </r>
    <r>
      <rPr>
        <sz val="11"/>
        <rFont val="Arial"/>
        <family val="2"/>
      </rPr>
      <t>]</t>
    </r>
  </si>
  <si>
    <r>
      <t>Ash mass fraction [x</t>
    </r>
    <r>
      <rPr>
        <vertAlign val="subscript"/>
        <sz val="11"/>
        <rFont val="Arial"/>
        <family val="2"/>
      </rPr>
      <t>ash</t>
    </r>
    <r>
      <rPr>
        <sz val="11"/>
        <rFont val="Arial"/>
        <family val="2"/>
      </rPr>
      <t>]</t>
    </r>
  </si>
  <si>
    <r>
      <t>Moisture mass fraction [x</t>
    </r>
    <r>
      <rPr>
        <vertAlign val="subscript"/>
        <sz val="11"/>
        <rFont val="Arial"/>
        <family val="2"/>
      </rPr>
      <t>moist</t>
    </r>
    <r>
      <rPr>
        <sz val="11"/>
        <rFont val="Arial"/>
        <family val="2"/>
      </rPr>
      <t>]</t>
    </r>
  </si>
  <si>
    <r>
      <t>Spec. wet flue gas volume [v</t>
    </r>
    <r>
      <rPr>
        <vertAlign val="superscript"/>
        <sz val="11"/>
        <rFont val="Arial"/>
        <family val="2"/>
      </rPr>
      <t>flue gas</t>
    </r>
    <r>
      <rPr>
        <vertAlign val="subscript"/>
        <sz val="11"/>
        <rFont val="Arial"/>
        <family val="2"/>
      </rPr>
      <t>λ,wet</t>
    </r>
    <r>
      <rPr>
        <sz val="11"/>
        <rFont val="Arial"/>
        <family val="2"/>
      </rPr>
      <t>]</t>
    </r>
  </si>
  <si>
    <r>
      <t>Annual wet flue gas volume [v</t>
    </r>
    <r>
      <rPr>
        <vertAlign val="superscript"/>
        <sz val="11"/>
        <rFont val="Arial"/>
        <family val="2"/>
      </rPr>
      <t>flue gas</t>
    </r>
    <r>
      <rPr>
        <vertAlign val="subscript"/>
        <sz val="11"/>
        <rFont val="Arial"/>
        <family val="2"/>
      </rPr>
      <t>λ,wet,year</t>
    </r>
    <r>
      <rPr>
        <sz val="11"/>
        <rFont val="Arial"/>
        <family val="2"/>
      </rPr>
      <t>]</t>
    </r>
  </si>
  <si>
    <r>
      <t>Spec. dry flue gas volume [v</t>
    </r>
    <r>
      <rPr>
        <vertAlign val="superscript"/>
        <sz val="11"/>
        <rFont val="Arial"/>
        <family val="2"/>
      </rPr>
      <t>flue gas</t>
    </r>
    <r>
      <rPr>
        <vertAlign val="subscript"/>
        <sz val="11"/>
        <rFont val="Arial"/>
        <family val="2"/>
      </rPr>
      <t>λ,dry</t>
    </r>
    <r>
      <rPr>
        <sz val="11"/>
        <rFont val="Arial"/>
        <family val="2"/>
      </rPr>
      <t>]</t>
    </r>
  </si>
  <si>
    <r>
      <t>Annual dry flue gas volume [v</t>
    </r>
    <r>
      <rPr>
        <vertAlign val="superscript"/>
        <sz val="11"/>
        <rFont val="Arial"/>
        <family val="2"/>
      </rPr>
      <t>flue gas</t>
    </r>
    <r>
      <rPr>
        <vertAlign val="subscript"/>
        <sz val="11"/>
        <rFont val="Arial"/>
        <family val="2"/>
      </rPr>
      <t>λ,dry,year</t>
    </r>
    <r>
      <rPr>
        <sz val="11"/>
        <rFont val="Arial"/>
        <family val="2"/>
      </rPr>
      <t>]</t>
    </r>
  </si>
  <si>
    <r>
      <t>Oxygen concentration [c</t>
    </r>
    <r>
      <rPr>
        <vertAlign val="subscript"/>
        <sz val="11"/>
        <rFont val="Arial"/>
        <family val="2"/>
      </rPr>
      <t>O2,act</t>
    </r>
    <r>
      <rPr>
        <sz val="11"/>
        <rFont val="Arial"/>
        <family val="2"/>
      </rPr>
      <t>]</t>
    </r>
  </si>
  <si>
    <r>
      <t>% O</t>
    </r>
    <r>
      <rPr>
        <vertAlign val="subscript"/>
        <sz val="11"/>
        <rFont val="Arial"/>
        <family val="2"/>
      </rPr>
      <t>2</t>
    </r>
    <r>
      <rPr>
        <sz val="11"/>
        <rFont val="Arial"/>
        <family val="2"/>
      </rPr>
      <t>, dry</t>
    </r>
  </si>
  <si>
    <r>
      <t>Oxygen correction factor [f</t>
    </r>
    <r>
      <rPr>
        <vertAlign val="subscript"/>
        <sz val="11"/>
        <rFont val="Arial"/>
        <family val="2"/>
      </rPr>
      <t>O2,corr</t>
    </r>
    <r>
      <rPr>
        <sz val="11"/>
        <rFont val="Arial"/>
        <family val="2"/>
      </rPr>
      <t>]</t>
    </r>
  </si>
  <si>
    <r>
      <t>O</t>
    </r>
    <r>
      <rPr>
        <vertAlign val="subscript"/>
        <sz val="11"/>
        <rFont val="Arial"/>
        <family val="2"/>
      </rPr>
      <t>2</t>
    </r>
    <r>
      <rPr>
        <sz val="11"/>
        <rFont val="Arial"/>
        <family val="2"/>
      </rPr>
      <t xml:space="preserve"> corr. Factor to ref. O</t>
    </r>
    <r>
      <rPr>
        <vertAlign val="subscript"/>
        <sz val="11"/>
        <rFont val="Arial"/>
        <family val="2"/>
      </rPr>
      <t>2</t>
    </r>
  </si>
  <si>
    <r>
      <t>O</t>
    </r>
    <r>
      <rPr>
        <vertAlign val="subscript"/>
        <sz val="11"/>
        <rFont val="Arial"/>
        <family val="2"/>
      </rPr>
      <t>2</t>
    </r>
    <r>
      <rPr>
        <sz val="11"/>
        <rFont val="Arial"/>
        <family val="2"/>
      </rPr>
      <t xml:space="preserve"> corr. Factor to ref. O</t>
    </r>
    <r>
      <rPr>
        <vertAlign val="subscript"/>
        <sz val="11"/>
        <rFont val="Arial"/>
        <family val="2"/>
      </rPr>
      <t>2</t>
    </r>
    <r>
      <rPr>
        <sz val="11"/>
        <rFont val="Arial"/>
        <family val="2"/>
      </rPr>
      <t xml:space="preserve"> %</t>
    </r>
  </si>
  <si>
    <r>
      <t>SO</t>
    </r>
    <r>
      <rPr>
        <vertAlign val="subscript"/>
        <sz val="11"/>
        <rFont val="Arial"/>
        <family val="2"/>
      </rPr>
      <t>2</t>
    </r>
    <r>
      <rPr>
        <sz val="11"/>
        <rFont val="Arial"/>
        <family val="2"/>
      </rPr>
      <t xml:space="preserve"> boiler outlet emissions [load</t>
    </r>
    <r>
      <rPr>
        <vertAlign val="superscript"/>
        <sz val="11"/>
        <rFont val="Arial"/>
        <family val="2"/>
      </rPr>
      <t>bo</t>
    </r>
    <r>
      <rPr>
        <vertAlign val="subscript"/>
        <sz val="11"/>
        <rFont val="Arial"/>
        <family val="2"/>
      </rPr>
      <t>SO2,dry,ref O2</t>
    </r>
    <r>
      <rPr>
        <sz val="11"/>
        <rFont val="Arial"/>
        <family val="2"/>
      </rPr>
      <t>]</t>
    </r>
  </si>
  <si>
    <r>
      <t>mg/Nm³ SO</t>
    </r>
    <r>
      <rPr>
        <vertAlign val="subscript"/>
        <sz val="11"/>
        <rFont val="Arial"/>
        <family val="2"/>
      </rPr>
      <t>2</t>
    </r>
    <r>
      <rPr>
        <sz val="11"/>
        <rFont val="Arial"/>
        <family val="2"/>
      </rPr>
      <t>, dry, ref O</t>
    </r>
    <r>
      <rPr>
        <vertAlign val="subscript"/>
        <sz val="11"/>
        <rFont val="Arial"/>
        <family val="2"/>
      </rPr>
      <t>2</t>
    </r>
  </si>
  <si>
    <r>
      <t>mg/Nm³ SO</t>
    </r>
    <r>
      <rPr>
        <vertAlign val="subscript"/>
        <sz val="11"/>
        <rFont val="Arial"/>
        <family val="2"/>
      </rPr>
      <t>2</t>
    </r>
    <r>
      <rPr>
        <sz val="11"/>
        <rFont val="Arial"/>
        <family val="2"/>
      </rPr>
      <t>, dry, ref O</t>
    </r>
    <r>
      <rPr>
        <vertAlign val="subscript"/>
        <sz val="11"/>
        <rFont val="Arial"/>
        <family val="2"/>
      </rPr>
      <t>2</t>
    </r>
    <r>
      <rPr>
        <sz val="11"/>
        <rFont val="Arial"/>
        <family val="2"/>
      </rPr>
      <t>-%</t>
    </r>
  </si>
  <si>
    <r>
      <t xml:space="preserve">Sulphur mass fraction [x real </t>
    </r>
    <r>
      <rPr>
        <vertAlign val="subscript"/>
        <sz val="11"/>
        <rFont val="Arial"/>
        <family val="2"/>
      </rPr>
      <t>S</t>
    </r>
    <r>
      <rPr>
        <sz val="11"/>
        <rFont val="Arial"/>
        <family val="2"/>
      </rPr>
      <t>]</t>
    </r>
  </si>
  <si>
    <r>
      <t>SO</t>
    </r>
    <r>
      <rPr>
        <vertAlign val="subscript"/>
        <sz val="11"/>
        <rFont val="Arial"/>
        <family val="2"/>
      </rPr>
      <t>2</t>
    </r>
    <r>
      <rPr>
        <sz val="11"/>
        <rFont val="Arial"/>
        <family val="2"/>
      </rPr>
      <t xml:space="preserve"> boiler outlet emissions [load</t>
    </r>
    <r>
      <rPr>
        <vertAlign val="superscript"/>
        <sz val="11"/>
        <rFont val="Arial"/>
        <family val="2"/>
      </rPr>
      <t>bo</t>
    </r>
    <r>
      <rPr>
        <vertAlign val="subscript"/>
        <sz val="11"/>
        <rFont val="Arial"/>
        <family val="2"/>
      </rPr>
      <t>SO2</t>
    </r>
    <r>
      <rPr>
        <sz val="11"/>
        <rFont val="Arial"/>
        <family val="2"/>
      </rPr>
      <t>]</t>
    </r>
  </si>
  <si>
    <r>
      <t>mg/Nm³ SO</t>
    </r>
    <r>
      <rPr>
        <b/>
        <vertAlign val="subscript"/>
        <sz val="11"/>
        <rFont val="Arial"/>
        <family val="2"/>
      </rPr>
      <t>2</t>
    </r>
    <r>
      <rPr>
        <b/>
        <sz val="11"/>
        <rFont val="Arial"/>
        <family val="2"/>
      </rPr>
      <t>, dry, ref O</t>
    </r>
    <r>
      <rPr>
        <b/>
        <vertAlign val="subscript"/>
        <sz val="11"/>
        <rFont val="Arial"/>
        <family val="2"/>
      </rPr>
      <t>2</t>
    </r>
    <r>
      <rPr>
        <b/>
        <sz val="11"/>
        <rFont val="Arial"/>
        <family val="2"/>
      </rPr>
      <t>-%</t>
    </r>
  </si>
  <si>
    <t>Sale prices range from 0.35 €/t to 6 €/t. In case of disposal, price is around 3.75 €/t.</t>
  </si>
  <si>
    <r>
      <t>Net cloth area [A</t>
    </r>
    <r>
      <rPr>
        <vertAlign val="subscript"/>
        <sz val="11"/>
        <rFont val="Calibri"/>
        <family val="2"/>
        <scheme val="minor"/>
      </rPr>
      <t>NC</t>
    </r>
    <r>
      <rPr>
        <sz val="11"/>
        <rFont val="Calibri"/>
        <family val="2"/>
        <scheme val="minor"/>
      </rPr>
      <t>]</t>
    </r>
  </si>
  <si>
    <r>
      <t>Gross cloth area [A</t>
    </r>
    <r>
      <rPr>
        <vertAlign val="subscript"/>
        <sz val="11"/>
        <rFont val="Calibri"/>
        <family val="2"/>
        <scheme val="minor"/>
      </rPr>
      <t>GC</t>
    </r>
    <r>
      <rPr>
        <sz val="11"/>
        <rFont val="Calibri"/>
        <family val="2"/>
        <scheme val="minor"/>
      </rPr>
      <t>]</t>
    </r>
  </si>
  <si>
    <r>
      <t>Compartment Area [A</t>
    </r>
    <r>
      <rPr>
        <vertAlign val="subscript"/>
        <sz val="11"/>
        <rFont val="Calibri"/>
        <family val="2"/>
        <scheme val="minor"/>
      </rPr>
      <t>comp</t>
    </r>
    <r>
      <rPr>
        <sz val="11"/>
        <rFont val="Calibri"/>
        <family val="2"/>
        <scheme val="minor"/>
      </rPr>
      <t>]</t>
    </r>
  </si>
  <si>
    <r>
      <t xml:space="preserve">Reference box PJFF4 - Price parameters for baghouse compartments - </t>
    </r>
    <r>
      <rPr>
        <b/>
        <u/>
        <sz val="11"/>
        <rFont val="Calibri"/>
        <family val="2"/>
        <scheme val="minor"/>
      </rPr>
      <t>2010 €</t>
    </r>
  </si>
  <si>
    <r>
      <t>Total cloth area should not exceed 2000 m² [</t>
    </r>
    <r>
      <rPr>
        <i/>
        <sz val="11"/>
        <rFont val="Calibri"/>
        <family val="2"/>
        <scheme val="minor"/>
      </rPr>
      <t>Hamon</t>
    </r>
    <r>
      <rPr>
        <sz val="11"/>
        <rFont val="Calibri"/>
        <family val="2"/>
        <scheme val="minor"/>
      </rPr>
      <t>]</t>
    </r>
  </si>
  <si>
    <r>
      <t>Bag prices [C</t>
    </r>
    <r>
      <rPr>
        <vertAlign val="superscript"/>
        <sz val="11"/>
        <rFont val="Calibri"/>
        <family val="2"/>
        <scheme val="minor"/>
      </rPr>
      <t>bag</t>
    </r>
    <r>
      <rPr>
        <vertAlign val="subscript"/>
        <sz val="11"/>
        <rFont val="Calibri"/>
        <family val="2"/>
        <scheme val="minor"/>
      </rPr>
      <t>area</t>
    </r>
    <r>
      <rPr>
        <sz val="11"/>
        <rFont val="Calibri"/>
        <family val="2"/>
        <scheme val="minor"/>
      </rPr>
      <t>]</t>
    </r>
  </si>
  <si>
    <r>
      <t>Bags cost [C</t>
    </r>
    <r>
      <rPr>
        <vertAlign val="superscript"/>
        <sz val="11"/>
        <rFont val="Calibri"/>
        <family val="2"/>
        <scheme val="minor"/>
      </rPr>
      <t>bag</t>
    </r>
    <r>
      <rPr>
        <vertAlign val="subscript"/>
        <sz val="11"/>
        <rFont val="Calibri"/>
        <family val="2"/>
        <scheme val="minor"/>
      </rPr>
      <t>total</t>
    </r>
    <r>
      <rPr>
        <sz val="11"/>
        <rFont val="Calibri"/>
        <family val="2"/>
        <scheme val="minor"/>
      </rPr>
      <t>]</t>
    </r>
  </si>
  <si>
    <r>
      <t>Bag replacement cost [C</t>
    </r>
    <r>
      <rPr>
        <b/>
        <vertAlign val="subscript"/>
        <sz val="11"/>
        <rFont val="Arial"/>
        <family val="2"/>
      </rPr>
      <t>rep</t>
    </r>
    <r>
      <rPr>
        <b/>
        <vertAlign val="superscript"/>
        <sz val="11"/>
        <rFont val="Arial"/>
        <family val="2"/>
      </rPr>
      <t>bags</t>
    </r>
    <r>
      <rPr>
        <b/>
        <sz val="11"/>
        <rFont val="Arial"/>
        <family val="2"/>
      </rPr>
      <t>]</t>
    </r>
  </si>
  <si>
    <t>Solid fuels - Nox Analysis</t>
  </si>
  <si>
    <t>O84 blue replaced by green</t>
  </si>
  <si>
    <t>O87 blue replaced by green</t>
  </si>
  <si>
    <t>Liquid fuels - Nox Analysis</t>
  </si>
  <si>
    <t xml:space="preserve">Gaseous fuels </t>
  </si>
  <si>
    <t>Total SCR Pressure Drop</t>
  </si>
  <si>
    <t>Total SNCR Pressure Drop</t>
  </si>
  <si>
    <t>Stoichiometric Ratio used in Calculation</t>
  </si>
  <si>
    <t>N72: "SR" replaced by "Stoichiometric Ratio"</t>
  </si>
  <si>
    <t>Stoiciometric Ratio used in Calculation</t>
  </si>
  <si>
    <t>Natural Gas - Nox Analysis</t>
  </si>
  <si>
    <t>Solid fuels - emission calc.</t>
  </si>
  <si>
    <t>Natural gas - emission calc.</t>
  </si>
  <si>
    <t>Broad Gas Composition</t>
  </si>
  <si>
    <t>C51: COAL replaced by GAS</t>
  </si>
  <si>
    <t>line 42-43: new lines inserted to have identical cell numbers for the description in the manual (compared to solid and liquid fuels)</t>
  </si>
  <si>
    <t>line 71, 79: blue color adapted to the same blue as used in the rest of the document</t>
  </si>
  <si>
    <t>line 67: blue color adapted to the same blue as used in the rest of the document</t>
  </si>
  <si>
    <t>N77: "P.D." replaced by "Pressure Drop"</t>
  </si>
  <si>
    <t>D59 and D85: orange to blue</t>
  </si>
  <si>
    <t>13.06.</t>
  </si>
  <si>
    <t>CM AKM</t>
  </si>
  <si>
    <t>NA 01/10/2014</t>
  </si>
  <si>
    <t>in sheet solid fuels_deSO2, cell D235 is modified the link is done with cell D 213 instead of D149</t>
  </si>
  <si>
    <t>in sheet liquid fuels_deSO2, cell D235 is modified the link is done with cell D 213 instead of D150</t>
  </si>
  <si>
    <t>cell D42 of sheets solid fuel_fabric_filter_DSI in blue</t>
  </si>
  <si>
    <t>cell D42 of sheets Liquid fuel_fabric_filter_DSI in blue</t>
  </si>
</sst>
</file>

<file path=xl/styles.xml><?xml version="1.0" encoding="utf-8"?>
<styleSheet xmlns="http://schemas.openxmlformats.org/spreadsheetml/2006/main">
  <numFmts count="13">
    <numFmt numFmtId="43" formatCode="_-* #,##0.00\ _€_-;\-* #,##0.00\ _€_-;_-* &quot;-&quot;??\ _€_-;_-@_-"/>
    <numFmt numFmtId="164" formatCode="0.0"/>
    <numFmt numFmtId="165" formatCode="0.0%"/>
    <numFmt numFmtId="166" formatCode="#,##0.0"/>
    <numFmt numFmtId="167" formatCode="#,##0.000"/>
    <numFmt numFmtId="168" formatCode="#,##0.00\ &quot;€&quot;"/>
    <numFmt numFmtId="169" formatCode="0.0000"/>
    <numFmt numFmtId="170" formatCode="#,##0.00\ _€"/>
    <numFmt numFmtId="171" formatCode="#,##0.0000"/>
    <numFmt numFmtId="172" formatCode="0.000"/>
    <numFmt numFmtId="173" formatCode="0.00000"/>
    <numFmt numFmtId="174" formatCode="0.000E+00"/>
    <numFmt numFmtId="175" formatCode="0.00000E+00"/>
  </numFmts>
  <fonts count="56">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sz val="8"/>
      <name val="Verdana"/>
      <family val="2"/>
    </font>
    <font>
      <sz val="11"/>
      <color theme="1"/>
      <name val="Arial"/>
      <family val="2"/>
    </font>
    <font>
      <sz val="14"/>
      <color theme="1"/>
      <name val="Arial"/>
      <family val="2"/>
    </font>
    <font>
      <b/>
      <sz val="12"/>
      <color theme="1"/>
      <name val="Arial"/>
      <family val="2"/>
    </font>
    <font>
      <b/>
      <sz val="16"/>
      <color theme="1"/>
      <name val="Arial"/>
      <family val="2"/>
    </font>
    <font>
      <b/>
      <u/>
      <sz val="11"/>
      <color theme="1"/>
      <name val="Arial"/>
      <family val="2"/>
    </font>
    <font>
      <b/>
      <sz val="11"/>
      <color theme="1"/>
      <name val="Arial"/>
      <family val="2"/>
    </font>
    <font>
      <b/>
      <sz val="22"/>
      <color theme="1"/>
      <name val="Arial"/>
      <family val="2"/>
    </font>
    <font>
      <b/>
      <u/>
      <sz val="11"/>
      <name val="Arial"/>
      <family val="2"/>
    </font>
    <font>
      <b/>
      <sz val="11"/>
      <name val="Arial"/>
      <family val="2"/>
    </font>
    <font>
      <i/>
      <sz val="11"/>
      <color theme="1"/>
      <name val="Arial"/>
      <family val="2"/>
    </font>
    <font>
      <vertAlign val="subscript"/>
      <sz val="11"/>
      <color theme="1"/>
      <name val="Arial"/>
      <family val="2"/>
    </font>
    <font>
      <sz val="11"/>
      <name val="Arial"/>
      <family val="2"/>
    </font>
    <font>
      <u/>
      <sz val="11"/>
      <color theme="1"/>
      <name val="Arial"/>
      <family val="2"/>
    </font>
    <font>
      <sz val="8.25"/>
      <color theme="1"/>
      <name val="Arial"/>
      <family val="2"/>
    </font>
    <font>
      <b/>
      <u/>
      <vertAlign val="subscript"/>
      <sz val="11"/>
      <color theme="1"/>
      <name val="Arial"/>
      <family val="2"/>
    </font>
    <font>
      <vertAlign val="superscript"/>
      <sz val="11"/>
      <color theme="1"/>
      <name val="Arial"/>
      <family val="2"/>
    </font>
    <font>
      <vertAlign val="superscript"/>
      <sz val="8.25"/>
      <color theme="1"/>
      <name val="Arial"/>
      <family val="2"/>
    </font>
    <font>
      <b/>
      <vertAlign val="subscript"/>
      <sz val="11"/>
      <name val="Arial"/>
      <family val="2"/>
    </font>
    <font>
      <sz val="10"/>
      <name val="Arial"/>
      <family val="2"/>
    </font>
    <font>
      <sz val="11"/>
      <color theme="1"/>
      <name val="Calibri"/>
      <family val="2"/>
    </font>
    <font>
      <b/>
      <u/>
      <sz val="11"/>
      <color theme="1"/>
      <name val="Calibri"/>
      <family val="2"/>
      <scheme val="minor"/>
    </font>
    <font>
      <sz val="7.7"/>
      <color theme="1"/>
      <name val="Calibri"/>
      <family val="2"/>
    </font>
    <font>
      <vertAlign val="subscript"/>
      <sz val="11"/>
      <color theme="1"/>
      <name val="Calibri"/>
      <family val="2"/>
      <scheme val="minor"/>
    </font>
    <font>
      <vertAlign val="subscript"/>
      <sz val="11"/>
      <color theme="1"/>
      <name val="Calibri"/>
      <family val="2"/>
    </font>
    <font>
      <vertAlign val="subscript"/>
      <sz val="7.7"/>
      <color theme="1"/>
      <name val="Calibri"/>
      <family val="2"/>
    </font>
    <font>
      <sz val="11"/>
      <color theme="1"/>
      <name val="Calibri"/>
      <family val="2"/>
      <scheme val="minor"/>
    </font>
    <font>
      <b/>
      <vertAlign val="subscript"/>
      <sz val="11"/>
      <color theme="1"/>
      <name val="Arial"/>
      <family val="2"/>
    </font>
    <font>
      <b/>
      <vertAlign val="superscript"/>
      <sz val="11"/>
      <color theme="1"/>
      <name val="Arial"/>
      <family val="2"/>
    </font>
    <font>
      <vertAlign val="superscript"/>
      <sz val="11"/>
      <color theme="1"/>
      <name val="Calibri"/>
      <family val="2"/>
      <scheme val="minor"/>
    </font>
    <font>
      <b/>
      <vertAlign val="subscript"/>
      <sz val="11"/>
      <color theme="1"/>
      <name val="Calibri"/>
      <family val="2"/>
      <scheme val="minor"/>
    </font>
    <font>
      <b/>
      <sz val="9"/>
      <color indexed="81"/>
      <name val="Tahoma"/>
      <family val="2"/>
    </font>
    <font>
      <sz val="11"/>
      <color rgb="FFFF0000"/>
      <name val="Arial"/>
      <family val="2"/>
    </font>
    <font>
      <sz val="11"/>
      <color rgb="FF000000"/>
      <name val="Arial"/>
      <family val="2"/>
    </font>
    <font>
      <sz val="10"/>
      <color theme="1"/>
      <name val="Arial"/>
      <family val="2"/>
    </font>
    <font>
      <sz val="11"/>
      <name val="Calibri"/>
      <family val="2"/>
      <scheme val="minor"/>
    </font>
    <font>
      <sz val="9"/>
      <color theme="1"/>
      <name val="Arial"/>
      <family val="2"/>
    </font>
    <font>
      <b/>
      <u/>
      <sz val="16"/>
      <color theme="1"/>
      <name val="Arial"/>
      <family val="2"/>
    </font>
    <font>
      <sz val="11"/>
      <color rgb="FFFF0000"/>
      <name val="Calibri"/>
      <family val="2"/>
      <scheme val="minor"/>
    </font>
    <font>
      <sz val="9"/>
      <name val="Arial"/>
      <family val="2"/>
    </font>
    <font>
      <b/>
      <sz val="16"/>
      <name val="Arial"/>
      <family val="2"/>
    </font>
    <font>
      <b/>
      <sz val="22"/>
      <name val="Arial"/>
      <family val="2"/>
    </font>
    <font>
      <i/>
      <sz val="11"/>
      <name val="Arial"/>
      <family val="2"/>
    </font>
    <font>
      <vertAlign val="superscript"/>
      <sz val="11"/>
      <name val="Arial"/>
      <family val="2"/>
    </font>
    <font>
      <vertAlign val="subscript"/>
      <sz val="11"/>
      <name val="Arial"/>
      <family val="2"/>
    </font>
    <font>
      <u/>
      <sz val="11"/>
      <name val="Arial"/>
      <family val="2"/>
    </font>
    <font>
      <i/>
      <sz val="11"/>
      <name val="Calibri"/>
      <family val="2"/>
      <scheme val="minor"/>
    </font>
    <font>
      <vertAlign val="subscript"/>
      <sz val="11"/>
      <name val="Calibri"/>
      <family val="2"/>
      <scheme val="minor"/>
    </font>
    <font>
      <b/>
      <u/>
      <sz val="11"/>
      <name val="Calibri"/>
      <family val="2"/>
      <scheme val="minor"/>
    </font>
    <font>
      <b/>
      <sz val="11"/>
      <name val="Calibri"/>
      <family val="2"/>
      <scheme val="minor"/>
    </font>
    <font>
      <vertAlign val="superscript"/>
      <sz val="11"/>
      <name val="Calibri"/>
      <family val="2"/>
      <scheme val="minor"/>
    </font>
    <font>
      <b/>
      <vertAlign val="superscript"/>
      <sz val="11"/>
      <name val="Arial"/>
      <family val="2"/>
    </font>
  </fonts>
  <fills count="1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00B0F0"/>
        <bgColor indexed="64"/>
      </patternFill>
    </fill>
    <fill>
      <patternFill patternType="solid">
        <fgColor them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66CCFF"/>
        <bgColor indexed="64"/>
      </patternFill>
    </fill>
    <fill>
      <patternFill patternType="solid">
        <fgColor rgb="FFCCFF99"/>
        <bgColor indexed="64"/>
      </patternFill>
    </fill>
    <fill>
      <patternFill patternType="solid">
        <fgColor rgb="FF66FF3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7">
    <xf numFmtId="0" fontId="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30" fillId="0" borderId="0" applyFont="0" applyFill="0" applyBorder="0" applyAlignment="0" applyProtection="0"/>
    <xf numFmtId="3" fontId="30" fillId="10" borderId="7" applyBorder="0">
      <alignment horizontal="center"/>
    </xf>
    <xf numFmtId="9" fontId="30" fillId="0" borderId="0" applyFont="0" applyFill="0" applyBorder="0" applyAlignment="0" applyProtection="0"/>
  </cellStyleXfs>
  <cellXfs count="1213">
    <xf numFmtId="0" fontId="0" fillId="0" borderId="0" xfId="0"/>
    <xf numFmtId="0" fontId="0" fillId="0" borderId="4" xfId="0" applyBorder="1"/>
    <xf numFmtId="0" fontId="0" fillId="0" borderId="0" xfId="0" applyBorder="1"/>
    <xf numFmtId="0" fontId="0" fillId="0" borderId="5" xfId="0" applyBorder="1"/>
    <xf numFmtId="0" fontId="0" fillId="0" borderId="7" xfId="0" applyBorder="1"/>
    <xf numFmtId="0" fontId="0" fillId="0" borderId="6" xfId="0" applyBorder="1"/>
    <xf numFmtId="0" fontId="0" fillId="0" borderId="9" xfId="0" applyBorder="1"/>
    <xf numFmtId="0" fontId="0" fillId="5" borderId="7" xfId="0" applyFill="1" applyBorder="1"/>
    <xf numFmtId="0" fontId="1" fillId="0" borderId="0" xfId="0" applyFont="1" applyBorder="1"/>
    <xf numFmtId="2" fontId="0" fillId="0" borderId="0" xfId="0" applyNumberFormat="1" applyBorder="1" applyAlignment="1">
      <alignment horizontal="center"/>
    </xf>
    <xf numFmtId="4" fontId="0" fillId="0" borderId="0" xfId="0" applyNumberFormat="1"/>
    <xf numFmtId="2" fontId="0" fillId="0" borderId="0" xfId="0" applyNumberFormat="1"/>
    <xf numFmtId="9" fontId="0" fillId="0" borderId="0" xfId="0" applyNumberFormat="1"/>
    <xf numFmtId="0" fontId="1" fillId="6" borderId="18" xfId="0" applyFont="1" applyFill="1" applyBorder="1" applyAlignment="1">
      <alignment horizontal="center"/>
    </xf>
    <xf numFmtId="2" fontId="1" fillId="0" borderId="18" xfId="0" applyNumberFormat="1" applyFont="1" applyBorder="1" applyAlignment="1">
      <alignment horizontal="center"/>
    </xf>
    <xf numFmtId="0" fontId="1" fillId="0" borderId="18" xfId="0" applyFont="1" applyBorder="1"/>
    <xf numFmtId="2" fontId="1" fillId="0" borderId="27" xfId="0" applyNumberFormat="1" applyFont="1" applyBorder="1" applyAlignment="1">
      <alignment horizontal="center"/>
    </xf>
    <xf numFmtId="0" fontId="0" fillId="6" borderId="18" xfId="0" applyFill="1" applyBorder="1" applyAlignment="1">
      <alignment horizontal="center"/>
    </xf>
    <xf numFmtId="2" fontId="0" fillId="0" borderId="18" xfId="0" applyNumberFormat="1" applyBorder="1" applyAlignment="1">
      <alignment horizontal="center"/>
    </xf>
    <xf numFmtId="0" fontId="0" fillId="0" borderId="18" xfId="0" applyBorder="1"/>
    <xf numFmtId="2" fontId="0" fillId="0" borderId="27" xfId="0" applyNumberFormat="1" applyBorder="1" applyAlignment="1">
      <alignment horizontal="center"/>
    </xf>
    <xf numFmtId="2" fontId="0" fillId="0" borderId="26" xfId="0" applyNumberFormat="1" applyBorder="1" applyAlignment="1">
      <alignment horizontal="center"/>
    </xf>
    <xf numFmtId="2" fontId="1" fillId="0" borderId="26" xfId="0" applyNumberFormat="1" applyFont="1" applyBorder="1" applyAlignment="1">
      <alignment horizontal="center"/>
    </xf>
    <xf numFmtId="0" fontId="0" fillId="6" borderId="1" xfId="0" applyFill="1" applyBorder="1"/>
    <xf numFmtId="0" fontId="0" fillId="6" borderId="4" xfId="0" applyFill="1" applyBorder="1"/>
    <xf numFmtId="0" fontId="0" fillId="0" borderId="25" xfId="0" applyBorder="1"/>
    <xf numFmtId="2" fontId="1" fillId="0" borderId="24" xfId="0" applyNumberFormat="1" applyFont="1" applyBorder="1" applyAlignment="1">
      <alignment horizontal="center"/>
    </xf>
    <xf numFmtId="0" fontId="0" fillId="5" borderId="8" xfId="0" applyFill="1" applyBorder="1"/>
    <xf numFmtId="0" fontId="2" fillId="6" borderId="2" xfId="0" applyFont="1" applyFill="1" applyBorder="1"/>
    <xf numFmtId="0" fontId="2" fillId="6" borderId="0" xfId="0" applyFont="1" applyFill="1" applyBorder="1"/>
    <xf numFmtId="0" fontId="2" fillId="6" borderId="5" xfId="0" applyFont="1" applyFill="1" applyBorder="1"/>
    <xf numFmtId="0" fontId="2" fillId="5" borderId="10" xfId="0" applyFont="1" applyFill="1" applyBorder="1"/>
    <xf numFmtId="0" fontId="2" fillId="5" borderId="11" xfId="0" applyFont="1" applyFill="1" applyBorder="1"/>
    <xf numFmtId="0" fontId="2" fillId="5" borderId="0" xfId="0" applyFont="1" applyFill="1" applyBorder="1"/>
    <xf numFmtId="0" fontId="2" fillId="5" borderId="5" xfId="0" applyFont="1" applyFill="1" applyBorder="1"/>
    <xf numFmtId="0" fontId="2" fillId="5" borderId="21" xfId="0" applyFont="1" applyFill="1" applyBorder="1"/>
    <xf numFmtId="0" fontId="2" fillId="5" borderId="22" xfId="0" applyFont="1" applyFill="1" applyBorder="1"/>
    <xf numFmtId="0" fontId="2" fillId="5" borderId="7" xfId="0" applyFont="1" applyFill="1" applyBorder="1"/>
    <xf numFmtId="2" fontId="1" fillId="0" borderId="0" xfId="0" applyNumberFormat="1" applyFont="1" applyFill="1" applyBorder="1" applyAlignment="1">
      <alignment horizontal="center"/>
    </xf>
    <xf numFmtId="2" fontId="1" fillId="0" borderId="0" xfId="0" applyNumberFormat="1" applyFont="1" applyBorder="1" applyAlignment="1">
      <alignment horizontal="center"/>
    </xf>
    <xf numFmtId="2" fontId="0" fillId="0" borderId="0" xfId="0" applyNumberFormat="1" applyBorder="1" applyAlignment="1">
      <alignment horizontal="center" vertical="center"/>
    </xf>
    <xf numFmtId="0" fontId="0" fillId="6" borderId="0" xfId="0" applyFill="1" applyBorder="1" applyAlignment="1">
      <alignment horizontal="center"/>
    </xf>
    <xf numFmtId="2" fontId="0" fillId="0" borderId="10" xfId="0" applyNumberFormat="1" applyBorder="1" applyAlignment="1">
      <alignment horizontal="center"/>
    </xf>
    <xf numFmtId="2" fontId="0" fillId="0" borderId="21" xfId="0" applyNumberFormat="1" applyBorder="1" applyAlignment="1">
      <alignment horizontal="center"/>
    </xf>
    <xf numFmtId="0" fontId="0" fillId="6" borderId="18" xfId="0" applyFill="1" applyBorder="1"/>
    <xf numFmtId="0" fontId="0" fillId="0" borderId="26" xfId="0" applyBorder="1"/>
    <xf numFmtId="0" fontId="0" fillId="0" borderId="27" xfId="0" applyBorder="1"/>
    <xf numFmtId="0" fontId="1" fillId="6" borderId="0" xfId="0" applyFont="1" applyFill="1" applyBorder="1" applyAlignment="1">
      <alignment horizontal="center"/>
    </xf>
    <xf numFmtId="2" fontId="1" fillId="0" borderId="10" xfId="0" applyNumberFormat="1" applyFont="1" applyBorder="1" applyAlignment="1">
      <alignment horizontal="center"/>
    </xf>
    <xf numFmtId="2" fontId="1" fillId="0" borderId="21" xfId="0" applyNumberFormat="1" applyFont="1" applyBorder="1" applyAlignment="1">
      <alignment horizontal="center"/>
    </xf>
    <xf numFmtId="2" fontId="0" fillId="0" borderId="18" xfId="0" applyNumberFormat="1" applyBorder="1" applyAlignment="1">
      <alignment horizontal="center" vertical="center"/>
    </xf>
    <xf numFmtId="2" fontId="1" fillId="0" borderId="18" xfId="0" applyNumberFormat="1" applyFont="1" applyFill="1" applyBorder="1" applyAlignment="1">
      <alignment horizontal="center"/>
    </xf>
    <xf numFmtId="0" fontId="0" fillId="0" borderId="29" xfId="0" applyBorder="1"/>
    <xf numFmtId="0" fontId="0" fillId="0" borderId="30" xfId="0" applyBorder="1"/>
    <xf numFmtId="0" fontId="0" fillId="5" borderId="30" xfId="0" applyFill="1" applyBorder="1"/>
    <xf numFmtId="0" fontId="0" fillId="6" borderId="28" xfId="0" applyFill="1" applyBorder="1"/>
    <xf numFmtId="0" fontId="0" fillId="0" borderId="31" xfId="0" applyBorder="1"/>
    <xf numFmtId="0" fontId="0" fillId="5" borderId="32" xfId="0" applyFill="1" applyBorder="1"/>
    <xf numFmtId="0" fontId="0" fillId="0" borderId="24" xfId="0" applyBorder="1"/>
    <xf numFmtId="2" fontId="0" fillId="0" borderId="7" xfId="0" applyNumberFormat="1" applyBorder="1" applyAlignment="1">
      <alignment horizontal="center" vertical="center"/>
    </xf>
    <xf numFmtId="2" fontId="0" fillId="0" borderId="24" xfId="0" applyNumberFormat="1" applyBorder="1" applyAlignment="1">
      <alignment horizontal="center" vertical="center"/>
    </xf>
    <xf numFmtId="2" fontId="1" fillId="0" borderId="7" xfId="0" applyNumberFormat="1" applyFont="1" applyBorder="1" applyAlignment="1">
      <alignment horizontal="center"/>
    </xf>
    <xf numFmtId="0" fontId="1" fillId="7" borderId="1" xfId="0" applyFont="1" applyFill="1" applyBorder="1"/>
    <xf numFmtId="2" fontId="1" fillId="7" borderId="2" xfId="0" applyNumberFormat="1" applyFont="1" applyFill="1" applyBorder="1"/>
    <xf numFmtId="0" fontId="1" fillId="7" borderId="2" xfId="0" applyFont="1" applyFill="1" applyBorder="1"/>
    <xf numFmtId="0" fontId="1" fillId="7" borderId="4" xfId="0" applyFont="1" applyFill="1" applyBorder="1"/>
    <xf numFmtId="2" fontId="1" fillId="7" borderId="0" xfId="0" applyNumberFormat="1" applyFont="1" applyFill="1" applyBorder="1"/>
    <xf numFmtId="0" fontId="1" fillId="7" borderId="0" xfId="0" applyFont="1" applyFill="1" applyBorder="1"/>
    <xf numFmtId="0" fontId="1" fillId="7" borderId="6" xfId="0" applyFont="1" applyFill="1" applyBorder="1"/>
    <xf numFmtId="2" fontId="1" fillId="7" borderId="7" xfId="0" applyNumberFormat="1" applyFont="1" applyFill="1" applyBorder="1"/>
    <xf numFmtId="0" fontId="1" fillId="7" borderId="7" xfId="0" applyFont="1" applyFill="1" applyBorder="1"/>
    <xf numFmtId="0" fontId="5" fillId="0" borderId="0" xfId="0" applyFont="1"/>
    <xf numFmtId="0" fontId="5" fillId="0" borderId="0" xfId="0" applyFont="1" applyAlignment="1">
      <alignment horizontal="left"/>
    </xf>
    <xf numFmtId="0" fontId="7" fillId="3" borderId="0" xfId="0" applyFont="1" applyFill="1" applyAlignment="1">
      <alignment horizontal="left" vertical="center"/>
    </xf>
    <xf numFmtId="0" fontId="8" fillId="3" borderId="0" xfId="0" applyFont="1" applyFill="1" applyBorder="1" applyAlignment="1">
      <alignment horizontal="left" vertical="center"/>
    </xf>
    <xf numFmtId="0" fontId="5" fillId="3" borderId="0" xfId="0" applyFont="1" applyFill="1"/>
    <xf numFmtId="0" fontId="5" fillId="3" borderId="0" xfId="0" applyFont="1" applyFill="1" applyAlignment="1">
      <alignment horizontal="left"/>
    </xf>
    <xf numFmtId="0" fontId="5" fillId="0" borderId="4" xfId="0" applyFont="1" applyFill="1" applyBorder="1"/>
    <xf numFmtId="0" fontId="5" fillId="0" borderId="0" xfId="0" applyFont="1" applyFill="1" applyBorder="1" applyAlignment="1">
      <alignment horizontal="center"/>
    </xf>
    <xf numFmtId="0" fontId="5" fillId="0" borderId="0" xfId="0" applyFont="1" applyFill="1" applyBorder="1"/>
    <xf numFmtId="0" fontId="5" fillId="0" borderId="4" xfId="0" applyFont="1" applyBorder="1"/>
    <xf numFmtId="0" fontId="5" fillId="0" borderId="5" xfId="0" applyFont="1" applyBorder="1"/>
    <xf numFmtId="0" fontId="10" fillId="0" borderId="0" xfId="0" applyFont="1" applyFill="1" applyBorder="1" applyAlignment="1"/>
    <xf numFmtId="0" fontId="5" fillId="5" borderId="4" xfId="0" applyFont="1" applyFill="1" applyBorder="1"/>
    <xf numFmtId="0" fontId="5" fillId="0" borderId="5" xfId="0" applyFont="1" applyBorder="1" applyAlignment="1">
      <alignment horizontal="left"/>
    </xf>
    <xf numFmtId="0" fontId="5" fillId="0" borderId="8" xfId="0" applyFont="1" applyBorder="1" applyAlignment="1">
      <alignment horizontal="center"/>
    </xf>
    <xf numFmtId="0" fontId="5" fillId="0" borderId="6" xfId="0" applyFont="1" applyBorder="1"/>
    <xf numFmtId="0" fontId="5" fillId="0" borderId="8" xfId="0" applyFont="1" applyBorder="1"/>
    <xf numFmtId="0" fontId="5" fillId="0" borderId="0" xfId="0" applyFont="1" applyBorder="1"/>
    <xf numFmtId="0" fontId="12" fillId="0" borderId="0" xfId="0" applyFont="1" applyFill="1" applyBorder="1" applyAlignment="1"/>
    <xf numFmtId="2" fontId="5" fillId="0" borderId="0" xfId="0" applyNumberFormat="1" applyFont="1" applyFill="1" applyBorder="1" applyAlignment="1">
      <alignment horizontal="center"/>
    </xf>
    <xf numFmtId="0" fontId="5" fillId="0" borderId="0" xfId="0" applyFont="1" applyFill="1" applyBorder="1" applyAlignment="1">
      <alignment horizontal="left"/>
    </xf>
    <xf numFmtId="0" fontId="5" fillId="0" borderId="7" xfId="0" applyFont="1" applyBorder="1"/>
    <xf numFmtId="0" fontId="5" fillId="0" borderId="0" xfId="0" applyFont="1" applyFill="1"/>
    <xf numFmtId="166" fontId="5" fillId="0" borderId="0" xfId="0" applyNumberFormat="1" applyFont="1" applyFill="1" applyBorder="1" applyAlignment="1">
      <alignment horizontal="right"/>
    </xf>
    <xf numFmtId="0" fontId="5" fillId="0" borderId="0" xfId="0" applyFont="1" applyBorder="1" applyAlignment="1">
      <alignment horizontal="left"/>
    </xf>
    <xf numFmtId="0" fontId="9" fillId="0" borderId="0" xfId="0" applyFont="1"/>
    <xf numFmtId="0" fontId="5" fillId="0" borderId="0" xfId="0" applyFont="1" applyFill="1" applyAlignment="1">
      <alignment horizontal="left"/>
    </xf>
    <xf numFmtId="165" fontId="5" fillId="0" borderId="0" xfId="0" applyNumberFormat="1" applyFont="1" applyBorder="1" applyAlignment="1">
      <alignment horizontal="center"/>
    </xf>
    <xf numFmtId="0" fontId="9" fillId="0" borderId="4" xfId="0" applyFont="1" applyBorder="1"/>
    <xf numFmtId="9" fontId="5" fillId="0" borderId="5" xfId="0" applyNumberFormat="1" applyFont="1" applyBorder="1" applyAlignment="1">
      <alignment horizontal="center"/>
    </xf>
    <xf numFmtId="165" fontId="5" fillId="0" borderId="5" xfId="0" applyNumberFormat="1" applyFont="1" applyBorder="1" applyAlignment="1">
      <alignment horizontal="center"/>
    </xf>
    <xf numFmtId="0" fontId="5" fillId="0" borderId="6" xfId="0" applyFont="1" applyBorder="1" applyAlignment="1">
      <alignment horizontal="center"/>
    </xf>
    <xf numFmtId="9" fontId="5" fillId="0" borderId="8" xfId="0" applyNumberFormat="1" applyFont="1" applyBorder="1" applyAlignment="1">
      <alignment horizontal="center"/>
    </xf>
    <xf numFmtId="0" fontId="14" fillId="0" borderId="0" xfId="0" applyFont="1" applyFill="1" applyBorder="1" applyAlignment="1">
      <alignment horizontal="right"/>
    </xf>
    <xf numFmtId="0" fontId="14" fillId="0" borderId="0" xfId="0" applyFont="1" applyAlignment="1">
      <alignment horizontal="left"/>
    </xf>
    <xf numFmtId="0" fontId="14" fillId="0" borderId="0" xfId="0" applyFont="1"/>
    <xf numFmtId="0" fontId="5" fillId="0" borderId="4" xfId="0" applyFont="1" applyBorder="1" applyAlignment="1">
      <alignment horizontal="center"/>
    </xf>
    <xf numFmtId="3" fontId="5" fillId="0" borderId="0" xfId="0" applyNumberFormat="1" applyFont="1" applyBorder="1" applyAlignment="1">
      <alignment horizontal="center"/>
    </xf>
    <xf numFmtId="0" fontId="5" fillId="0" borderId="5" xfId="0" applyFont="1" applyBorder="1" applyAlignment="1">
      <alignment horizontal="center"/>
    </xf>
    <xf numFmtId="165" fontId="5" fillId="0" borderId="5" xfId="0" applyNumberFormat="1" applyFont="1" applyBorder="1"/>
    <xf numFmtId="165" fontId="5" fillId="0" borderId="8" xfId="0" applyNumberFormat="1" applyFont="1" applyBorder="1"/>
    <xf numFmtId="0" fontId="5" fillId="0" borderId="0" xfId="0" applyFont="1" applyAlignment="1">
      <alignment horizontal="center"/>
    </xf>
    <xf numFmtId="0" fontId="5" fillId="0" borderId="4" xfId="0" applyFont="1" applyBorder="1" applyAlignment="1">
      <alignment horizontal="left"/>
    </xf>
    <xf numFmtId="166" fontId="5" fillId="0" borderId="0" xfId="0" applyNumberFormat="1" applyFont="1" applyBorder="1" applyAlignment="1">
      <alignment horizontal="center"/>
    </xf>
    <xf numFmtId="166" fontId="5" fillId="0" borderId="5" xfId="0" applyNumberFormat="1" applyFont="1" applyBorder="1" applyAlignment="1">
      <alignment horizontal="left"/>
    </xf>
    <xf numFmtId="0" fontId="5" fillId="0" borderId="4" xfId="0" applyFont="1" applyFill="1" applyBorder="1" applyAlignment="1">
      <alignment horizontal="left"/>
    </xf>
    <xf numFmtId="166" fontId="5" fillId="0" borderId="5" xfId="0" applyNumberFormat="1" applyFont="1" applyFill="1" applyBorder="1" applyAlignment="1">
      <alignment horizontal="left"/>
    </xf>
    <xf numFmtId="0" fontId="5" fillId="0" borderId="7" xfId="0" applyFont="1" applyBorder="1" applyAlignment="1">
      <alignment horizontal="center"/>
    </xf>
    <xf numFmtId="166" fontId="5" fillId="0" borderId="4" xfId="0" applyNumberFormat="1" applyFont="1" applyFill="1" applyBorder="1" applyAlignment="1">
      <alignment horizontal="left"/>
    </xf>
    <xf numFmtId="0" fontId="14" fillId="0" borderId="0" xfId="0" applyFont="1" applyFill="1" applyBorder="1" applyAlignment="1">
      <alignment horizontal="center"/>
    </xf>
    <xf numFmtId="0" fontId="11" fillId="3"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Border="1" applyAlignment="1">
      <alignment horizontal="left" vertical="center"/>
    </xf>
    <xf numFmtId="0" fontId="11" fillId="0" borderId="0" xfId="0" applyFont="1" applyFill="1" applyAlignment="1">
      <alignment vertical="center"/>
    </xf>
    <xf numFmtId="0" fontId="5" fillId="0" borderId="0" xfId="0" applyFont="1" applyFill="1" applyAlignment="1">
      <alignment vertical="center"/>
    </xf>
    <xf numFmtId="0" fontId="5" fillId="6" borderId="0" xfId="0" applyFont="1" applyFill="1"/>
    <xf numFmtId="0" fontId="5" fillId="6" borderId="0" xfId="0" applyFont="1" applyFill="1" applyAlignment="1">
      <alignment horizontal="left"/>
    </xf>
    <xf numFmtId="0" fontId="7" fillId="6" borderId="0" xfId="0" applyFont="1" applyFill="1" applyAlignment="1">
      <alignment horizontal="left" vertical="center"/>
    </xf>
    <xf numFmtId="0" fontId="8" fillId="6" borderId="0" xfId="0" applyFont="1" applyFill="1" applyBorder="1" applyAlignment="1">
      <alignment horizontal="left" vertical="center"/>
    </xf>
    <xf numFmtId="0" fontId="5" fillId="0" borderId="4" xfId="0" applyFont="1" applyBorder="1" applyAlignment="1">
      <alignment horizontal="left" vertical="center"/>
    </xf>
    <xf numFmtId="0" fontId="10" fillId="0" borderId="0" xfId="0" applyFont="1" applyFill="1" applyBorder="1" applyAlignment="1">
      <alignment horizontal="center"/>
    </xf>
    <xf numFmtId="0" fontId="10" fillId="0" borderId="0" xfId="0" applyFont="1" applyAlignment="1">
      <alignment vertical="center" wrapText="1"/>
    </xf>
    <xf numFmtId="0" fontId="10" fillId="0" borderId="0" xfId="0" applyFont="1" applyFill="1" applyBorder="1" applyAlignment="1">
      <alignment vertical="center" textRotation="90"/>
    </xf>
    <xf numFmtId="166" fontId="5" fillId="10" borderId="0" xfId="0" applyNumberFormat="1" applyFont="1" applyFill="1" applyBorder="1" applyAlignment="1">
      <alignment horizontal="center"/>
    </xf>
    <xf numFmtId="166" fontId="5" fillId="9" borderId="0" xfId="0" applyNumberFormat="1" applyFont="1" applyFill="1" applyBorder="1" applyAlignment="1">
      <alignment horizontal="center"/>
    </xf>
    <xf numFmtId="0" fontId="9" fillId="0" borderId="0" xfId="0" applyFont="1" applyFill="1" applyBorder="1" applyAlignment="1"/>
    <xf numFmtId="166" fontId="17" fillId="0" borderId="0" xfId="0" applyNumberFormat="1" applyFont="1" applyFill="1" applyBorder="1" applyAlignment="1"/>
    <xf numFmtId="165" fontId="5" fillId="0" borderId="0" xfId="0" applyNumberFormat="1" applyFont="1" applyBorder="1"/>
    <xf numFmtId="0" fontId="9" fillId="0" borderId="0" xfId="0" applyFont="1" applyFill="1" applyBorder="1" applyAlignment="1">
      <alignment horizontal="center"/>
    </xf>
    <xf numFmtId="0" fontId="11" fillId="3" borderId="0" xfId="0" applyFont="1" applyFill="1" applyAlignment="1"/>
    <xf numFmtId="0" fontId="10" fillId="11" borderId="4" xfId="0" applyFont="1" applyFill="1" applyBorder="1"/>
    <xf numFmtId="168" fontId="5" fillId="0" borderId="5" xfId="0" applyNumberFormat="1" applyFont="1" applyBorder="1"/>
    <xf numFmtId="168" fontId="10" fillId="0" borderId="5" xfId="0" applyNumberFormat="1" applyFont="1" applyBorder="1"/>
    <xf numFmtId="2" fontId="5" fillId="10" borderId="0" xfId="0" applyNumberFormat="1" applyFont="1" applyFill="1" applyBorder="1" applyAlignment="1">
      <alignment horizontal="center" vertical="center"/>
    </xf>
    <xf numFmtId="3" fontId="5" fillId="10" borderId="7" xfId="0" applyNumberFormat="1" applyFont="1" applyFill="1" applyBorder="1" applyAlignment="1">
      <alignment horizontal="center" vertical="center"/>
    </xf>
    <xf numFmtId="166" fontId="5" fillId="0" borderId="0" xfId="0" applyNumberFormat="1" applyFont="1" applyFill="1" applyBorder="1" applyAlignment="1">
      <alignment horizontal="center"/>
    </xf>
    <xf numFmtId="0" fontId="5" fillId="9" borderId="0" xfId="0" applyFont="1" applyFill="1" applyBorder="1" applyAlignment="1">
      <alignment horizontal="center"/>
    </xf>
    <xf numFmtId="166" fontId="5" fillId="0" borderId="4" xfId="0" applyNumberFormat="1" applyFont="1" applyBorder="1" applyAlignment="1">
      <alignment horizontal="left"/>
    </xf>
    <xf numFmtId="166" fontId="10" fillId="11" borderId="4" xfId="0" applyNumberFormat="1" applyFont="1" applyFill="1" applyBorder="1" applyAlignment="1">
      <alignment horizontal="left"/>
    </xf>
    <xf numFmtId="166" fontId="10" fillId="11" borderId="5" xfId="0" applyNumberFormat="1" applyFont="1" applyFill="1" applyBorder="1" applyAlignment="1">
      <alignment horizontal="left"/>
    </xf>
    <xf numFmtId="166" fontId="10" fillId="11" borderId="8" xfId="0" applyNumberFormat="1" applyFont="1" applyFill="1" applyBorder="1" applyAlignment="1">
      <alignment horizontal="left"/>
    </xf>
    <xf numFmtId="0" fontId="5" fillId="0" borderId="0" xfId="0" applyFont="1" applyBorder="1" applyAlignment="1">
      <alignment horizontal="center"/>
    </xf>
    <xf numFmtId="0" fontId="10" fillId="6" borderId="0" xfId="0" applyFont="1" applyFill="1" applyBorder="1" applyAlignment="1"/>
    <xf numFmtId="0" fontId="11" fillId="0" borderId="0" xfId="0" applyFont="1" applyFill="1" applyAlignment="1">
      <alignment horizontal="center"/>
    </xf>
    <xf numFmtId="0" fontId="5" fillId="0" borderId="6" xfId="0" applyFont="1" applyBorder="1" applyAlignment="1">
      <alignment vertical="center"/>
    </xf>
    <xf numFmtId="0" fontId="5" fillId="0" borderId="8" xfId="0" applyFont="1" applyBorder="1" applyAlignment="1">
      <alignment vertical="center"/>
    </xf>
    <xf numFmtId="166" fontId="5" fillId="9" borderId="0" xfId="0" applyNumberFormat="1" applyFont="1" applyFill="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vertical="center"/>
    </xf>
    <xf numFmtId="0" fontId="5" fillId="10" borderId="0" xfId="0" applyFont="1" applyFill="1" applyBorder="1" applyAlignment="1">
      <alignment horizontal="center"/>
    </xf>
    <xf numFmtId="0" fontId="5" fillId="5" borderId="5" xfId="0" applyFont="1" applyFill="1" applyBorder="1"/>
    <xf numFmtId="0" fontId="5" fillId="3" borderId="0" xfId="0" applyFont="1" applyFill="1" applyBorder="1"/>
    <xf numFmtId="166" fontId="5" fillId="9" borderId="0" xfId="0" applyNumberFormat="1" applyFont="1" applyFill="1" applyBorder="1" applyAlignment="1">
      <alignment horizontal="right"/>
    </xf>
    <xf numFmtId="0" fontId="5" fillId="0" borderId="0" xfId="0" applyFont="1" applyBorder="1" applyAlignment="1">
      <alignment horizontal="right"/>
    </xf>
    <xf numFmtId="0" fontId="10" fillId="11" borderId="6" xfId="0" applyFont="1" applyFill="1" applyBorder="1"/>
    <xf numFmtId="168" fontId="10" fillId="0" borderId="8" xfId="0" applyNumberFormat="1" applyFont="1" applyBorder="1"/>
    <xf numFmtId="166" fontId="5" fillId="0" borderId="0" xfId="0" applyNumberFormat="1" applyFont="1" applyBorder="1" applyAlignment="1">
      <alignment horizontal="right"/>
    </xf>
    <xf numFmtId="4" fontId="5"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4" fontId="10" fillId="11" borderId="0" xfId="0" applyNumberFormat="1" applyFont="1" applyFill="1" applyBorder="1" applyAlignment="1">
      <alignment horizontal="right"/>
    </xf>
    <xf numFmtId="165" fontId="10" fillId="11" borderId="0" xfId="0" applyNumberFormat="1" applyFont="1" applyFill="1" applyBorder="1" applyAlignment="1">
      <alignment horizontal="right"/>
    </xf>
    <xf numFmtId="165" fontId="10" fillId="11" borderId="7" xfId="0" applyNumberFormat="1" applyFont="1" applyFill="1" applyBorder="1" applyAlignment="1">
      <alignment horizontal="right"/>
    </xf>
    <xf numFmtId="0" fontId="10" fillId="11" borderId="5" xfId="0" applyFont="1" applyFill="1" applyBorder="1"/>
    <xf numFmtId="0" fontId="10" fillId="11" borderId="8" xfId="0" applyFont="1" applyFill="1" applyBorder="1"/>
    <xf numFmtId="3" fontId="5" fillId="0" borderId="0" xfId="0" applyNumberFormat="1" applyFont="1" applyFill="1" applyBorder="1" applyAlignment="1">
      <alignment horizontal="center"/>
    </xf>
    <xf numFmtId="0" fontId="9" fillId="0" borderId="35" xfId="0" applyFont="1" applyBorder="1" applyAlignment="1">
      <alignment horizontal="center" vertical="center"/>
    </xf>
    <xf numFmtId="0" fontId="5" fillId="10" borderId="36" xfId="0" applyFont="1" applyFill="1" applyBorder="1" applyAlignment="1">
      <alignment horizontal="center" vertical="center"/>
    </xf>
    <xf numFmtId="0" fontId="5" fillId="9" borderId="37" xfId="0" applyFont="1" applyFill="1" applyBorder="1" applyAlignment="1">
      <alignment horizontal="center" vertical="center"/>
    </xf>
    <xf numFmtId="3" fontId="5" fillId="9" borderId="0" xfId="0" applyNumberFormat="1" applyFont="1" applyFill="1" applyBorder="1" applyAlignment="1">
      <alignment horizontal="center"/>
    </xf>
    <xf numFmtId="2" fontId="1" fillId="7" borderId="20" xfId="0" applyNumberFormat="1" applyFont="1" applyFill="1" applyBorder="1" applyAlignment="1">
      <alignment horizontal="center" vertical="center"/>
    </xf>
    <xf numFmtId="2" fontId="1" fillId="7" borderId="5" xfId="0" applyNumberFormat="1" applyFont="1" applyFill="1" applyBorder="1" applyAlignment="1">
      <alignment horizontal="center" vertical="center"/>
    </xf>
    <xf numFmtId="2" fontId="1" fillId="7" borderId="38" xfId="0" applyNumberFormat="1" applyFont="1" applyFill="1" applyBorder="1" applyAlignment="1">
      <alignment horizontal="center" vertical="center"/>
    </xf>
    <xf numFmtId="2" fontId="1" fillId="7" borderId="8" xfId="0" applyNumberFormat="1" applyFont="1" applyFill="1" applyBorder="1" applyAlignment="1">
      <alignment horizontal="center" vertical="center"/>
    </xf>
    <xf numFmtId="0" fontId="1" fillId="7" borderId="39" xfId="0" applyFont="1" applyFill="1" applyBorder="1" applyAlignment="1">
      <alignment horizontal="center" vertical="center"/>
    </xf>
    <xf numFmtId="0" fontId="1" fillId="7" borderId="1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2" fontId="5" fillId="0" borderId="0" xfId="0" applyNumberFormat="1" applyFont="1" applyBorder="1" applyAlignment="1">
      <alignment horizontal="center" vertical="center"/>
    </xf>
    <xf numFmtId="2" fontId="5" fillId="0" borderId="5"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8" xfId="0" applyNumberFormat="1" applyFont="1" applyBorder="1" applyAlignment="1">
      <alignment horizontal="center" vertical="center"/>
    </xf>
    <xf numFmtId="0" fontId="5" fillId="5" borderId="31" xfId="0" applyFont="1" applyFill="1" applyBorder="1" applyAlignment="1">
      <alignment horizontal="center"/>
    </xf>
    <xf numFmtId="0" fontId="5" fillId="5" borderId="30" xfId="0" applyFont="1" applyFill="1" applyBorder="1" applyAlignment="1">
      <alignment horizontal="center"/>
    </xf>
    <xf numFmtId="0" fontId="5" fillId="5" borderId="40" xfId="0" applyFont="1" applyFill="1" applyBorder="1" applyAlignment="1">
      <alignment horizontal="center"/>
    </xf>
    <xf numFmtId="9" fontId="5" fillId="0" borderId="41" xfId="0" applyNumberFormat="1" applyFont="1" applyBorder="1" applyAlignment="1">
      <alignment horizontal="center"/>
    </xf>
    <xf numFmtId="9" fontId="5" fillId="0" borderId="42" xfId="0" applyNumberFormat="1" applyFont="1" applyBorder="1" applyAlignment="1">
      <alignment horizontal="center"/>
    </xf>
    <xf numFmtId="0" fontId="0" fillId="5" borderId="4" xfId="0" applyFill="1" applyBorder="1"/>
    <xf numFmtId="0" fontId="0" fillId="5" borderId="0" xfId="0" applyFill="1" applyBorder="1"/>
    <xf numFmtId="0" fontId="0" fillId="5" borderId="5" xfId="0" applyFill="1" applyBorder="1"/>
    <xf numFmtId="2" fontId="0" fillId="0" borderId="5" xfId="0" applyNumberFormat="1" applyBorder="1"/>
    <xf numFmtId="9" fontId="0" fillId="0" borderId="7" xfId="0" applyNumberFormat="1" applyBorder="1"/>
    <xf numFmtId="2" fontId="0" fillId="0" borderId="8" xfId="0" applyNumberFormat="1" applyBorder="1"/>
    <xf numFmtId="0" fontId="5" fillId="0" borderId="0" xfId="0" applyFont="1" applyFill="1" applyBorder="1" applyAlignment="1">
      <alignment horizontal="center" vertical="center"/>
    </xf>
    <xf numFmtId="0" fontId="5" fillId="5" borderId="1" xfId="0" applyFont="1" applyFill="1" applyBorder="1"/>
    <xf numFmtId="0" fontId="5" fillId="5" borderId="2" xfId="0" applyFont="1" applyFill="1" applyBorder="1"/>
    <xf numFmtId="0" fontId="8" fillId="3" borderId="0" xfId="0" applyFont="1" applyFill="1" applyAlignment="1"/>
    <xf numFmtId="0" fontId="9" fillId="0" borderId="0" xfId="0" applyFont="1" applyFill="1" applyBorder="1" applyAlignment="1">
      <alignment horizontal="center" vertical="center" wrapText="1"/>
    </xf>
    <xf numFmtId="2" fontId="5" fillId="0" borderId="0" xfId="0" applyNumberFormat="1" applyFont="1"/>
    <xf numFmtId="2" fontId="10" fillId="0" borderId="0" xfId="0" applyNumberFormat="1" applyFont="1" applyAlignment="1">
      <alignment vertical="center" wrapText="1"/>
    </xf>
    <xf numFmtId="166" fontId="5" fillId="0" borderId="7" xfId="0" applyNumberFormat="1" applyFont="1" applyBorder="1" applyAlignment="1">
      <alignment horizontal="center"/>
    </xf>
    <xf numFmtId="4" fontId="5" fillId="9" borderId="0" xfId="0" applyNumberFormat="1" applyFont="1" applyFill="1" applyBorder="1" applyAlignment="1">
      <alignment horizontal="center"/>
    </xf>
    <xf numFmtId="0" fontId="10" fillId="5" borderId="2"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0" xfId="0" applyFont="1" applyFill="1" applyBorder="1" applyAlignment="1">
      <alignment horizontal="center" vertical="center"/>
    </xf>
    <xf numFmtId="0" fontId="0" fillId="0" borderId="0" xfId="0" applyFill="1"/>
    <xf numFmtId="3" fontId="10" fillId="11" borderId="0" xfId="0" applyNumberFormat="1" applyFont="1" applyFill="1" applyBorder="1" applyAlignment="1">
      <alignment horizontal="right"/>
    </xf>
    <xf numFmtId="165" fontId="5" fillId="10" borderId="7" xfId="0" applyNumberFormat="1" applyFont="1" applyFill="1" applyBorder="1" applyAlignment="1">
      <alignment horizontal="center" vertical="center"/>
    </xf>
    <xf numFmtId="165" fontId="5" fillId="10" borderId="0" xfId="0" applyNumberFormat="1" applyFont="1" applyFill="1" applyBorder="1" applyAlignment="1">
      <alignment horizontal="center"/>
    </xf>
    <xf numFmtId="165" fontId="5" fillId="0" borderId="7" xfId="0" applyNumberFormat="1" applyFont="1" applyFill="1" applyBorder="1" applyAlignment="1">
      <alignment horizontal="center"/>
    </xf>
    <xf numFmtId="0" fontId="5" fillId="5" borderId="4" xfId="0" applyFont="1" applyFill="1" applyBorder="1" applyAlignment="1">
      <alignment horizontal="left" vertical="center"/>
    </xf>
    <xf numFmtId="0" fontId="5" fillId="0" borderId="0" xfId="0" applyFont="1" applyBorder="1" applyAlignment="1">
      <alignment horizontal="left" vertical="center"/>
    </xf>
    <xf numFmtId="0" fontId="5" fillId="5" borderId="0" xfId="0" applyFont="1" applyFill="1" applyBorder="1" applyAlignment="1">
      <alignment horizontal="left" vertical="center"/>
    </xf>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4" fontId="5" fillId="10" borderId="10" xfId="0" applyNumberFormat="1" applyFont="1" applyFill="1" applyBorder="1" applyAlignment="1">
      <alignment horizontal="right" vertical="center"/>
    </xf>
    <xf numFmtId="0" fontId="5" fillId="5" borderId="10" xfId="0" applyFont="1" applyFill="1" applyBorder="1" applyAlignment="1">
      <alignment vertical="center"/>
    </xf>
    <xf numFmtId="3" fontId="5" fillId="10" borderId="10" xfId="0" applyNumberFormat="1" applyFont="1" applyFill="1" applyBorder="1" applyAlignment="1">
      <alignment horizontal="right" vertical="center"/>
    </xf>
    <xf numFmtId="0" fontId="5" fillId="0" borderId="10" xfId="0" applyFont="1" applyBorder="1" applyAlignment="1">
      <alignment vertical="center"/>
    </xf>
    <xf numFmtId="2" fontId="5" fillId="10" borderId="11" xfId="0" applyNumberFormat="1" applyFont="1" applyFill="1" applyBorder="1" applyAlignment="1">
      <alignment horizontal="left" vertical="center"/>
    </xf>
    <xf numFmtId="4" fontId="5" fillId="10" borderId="7" xfId="0" applyNumberFormat="1" applyFont="1" applyFill="1" applyBorder="1" applyAlignment="1">
      <alignment horizontal="right" vertical="center"/>
    </xf>
    <xf numFmtId="0" fontId="5" fillId="5" borderId="7" xfId="0" applyFont="1" applyFill="1" applyBorder="1" applyAlignment="1">
      <alignment vertical="center"/>
    </xf>
    <xf numFmtId="3" fontId="5" fillId="10" borderId="7" xfId="0" applyNumberFormat="1" applyFont="1" applyFill="1" applyBorder="1" applyAlignment="1">
      <alignment horizontal="right" vertical="center"/>
    </xf>
    <xf numFmtId="0" fontId="5" fillId="0" borderId="7" xfId="0" applyFont="1" applyBorder="1" applyAlignment="1">
      <alignment vertical="center"/>
    </xf>
    <xf numFmtId="4" fontId="5" fillId="10" borderId="8" xfId="0" applyNumberFormat="1" applyFont="1" applyFill="1" applyBorder="1" applyAlignment="1">
      <alignment horizontal="left" vertical="center"/>
    </xf>
    <xf numFmtId="0" fontId="5" fillId="5" borderId="9" xfId="0" applyFont="1" applyFill="1" applyBorder="1" applyAlignment="1">
      <alignment vertical="center"/>
    </xf>
    <xf numFmtId="0" fontId="5" fillId="5" borderId="4" xfId="0" applyFont="1" applyFill="1" applyBorder="1" applyAlignment="1">
      <alignment horizontal="center" vertical="center"/>
    </xf>
    <xf numFmtId="164" fontId="5" fillId="0" borderId="0" xfId="0" applyNumberFormat="1" applyFont="1" applyBorder="1" applyAlignment="1">
      <alignment horizontal="center" vertical="center"/>
    </xf>
    <xf numFmtId="0" fontId="5" fillId="0" borderId="0" xfId="0" applyFont="1" applyAlignment="1">
      <alignment vertical="center"/>
    </xf>
    <xf numFmtId="2" fontId="5" fillId="0" borderId="0" xfId="0" applyNumberFormat="1" applyFont="1" applyAlignment="1">
      <alignment vertical="center"/>
    </xf>
    <xf numFmtId="0" fontId="5" fillId="0" borderId="0" xfId="0" applyFont="1" applyFill="1" applyBorder="1" applyAlignment="1">
      <alignment vertical="center"/>
    </xf>
    <xf numFmtId="4" fontId="5" fillId="0" borderId="0" xfId="0" applyNumberFormat="1" applyFont="1" applyFill="1" applyBorder="1" applyAlignment="1">
      <alignment vertical="center"/>
    </xf>
    <xf numFmtId="4" fontId="5" fillId="10" borderId="0" xfId="0" applyNumberFormat="1" applyFont="1" applyFill="1" applyBorder="1" applyAlignment="1">
      <alignment vertical="center"/>
    </xf>
    <xf numFmtId="0" fontId="5" fillId="10" borderId="5" xfId="0" applyFont="1" applyFill="1" applyBorder="1" applyAlignment="1">
      <alignment vertical="center"/>
    </xf>
    <xf numFmtId="166" fontId="5" fillId="0" borderId="0" xfId="0" applyNumberFormat="1" applyFont="1" applyFill="1" applyBorder="1" applyAlignment="1">
      <alignment vertical="center"/>
    </xf>
    <xf numFmtId="166" fontId="5" fillId="0" borderId="4" xfId="0" applyNumberFormat="1" applyFont="1" applyFill="1" applyBorder="1" applyAlignment="1">
      <alignment vertical="center"/>
    </xf>
    <xf numFmtId="166" fontId="5" fillId="10" borderId="0" xfId="0" applyNumberFormat="1" applyFont="1" applyFill="1" applyBorder="1" applyAlignment="1">
      <alignment vertical="center"/>
    </xf>
    <xf numFmtId="0" fontId="5" fillId="0" borderId="5" xfId="0" applyFont="1" applyFill="1" applyBorder="1" applyAlignment="1">
      <alignment vertical="center"/>
    </xf>
    <xf numFmtId="11" fontId="5" fillId="0" borderId="0" xfId="0" applyNumberFormat="1" applyFont="1" applyFill="1" applyBorder="1" applyAlignment="1">
      <alignment vertical="center"/>
    </xf>
    <xf numFmtId="11" fontId="5" fillId="10" borderId="0" xfId="0" applyNumberFormat="1" applyFont="1" applyFill="1" applyBorder="1" applyAlignment="1">
      <alignment vertical="center"/>
    </xf>
    <xf numFmtId="165" fontId="5" fillId="0" borderId="0" xfId="0" applyNumberFormat="1" applyFont="1" applyFill="1" applyBorder="1" applyAlignment="1">
      <alignment vertical="center"/>
    </xf>
    <xf numFmtId="2" fontId="5" fillId="0" borderId="0" xfId="0" applyNumberFormat="1" applyFont="1" applyBorder="1" applyAlignment="1">
      <alignment vertical="center"/>
    </xf>
    <xf numFmtId="2" fontId="5" fillId="10" borderId="0" xfId="0" applyNumberFormat="1" applyFont="1" applyFill="1" applyBorder="1" applyAlignment="1">
      <alignment vertical="center"/>
    </xf>
    <xf numFmtId="3" fontId="5" fillId="0" borderId="0" xfId="0" applyNumberFormat="1" applyFont="1" applyFill="1" applyBorder="1" applyAlignment="1">
      <alignment vertical="center"/>
    </xf>
    <xf numFmtId="3" fontId="5" fillId="10" borderId="0" xfId="0" applyNumberFormat="1" applyFont="1" applyFill="1" applyBorder="1" applyAlignment="1">
      <alignment vertical="center"/>
    </xf>
    <xf numFmtId="3" fontId="5" fillId="10" borderId="7" xfId="0" applyNumberFormat="1" applyFont="1" applyFill="1" applyBorder="1" applyAlignment="1">
      <alignment vertical="center"/>
    </xf>
    <xf numFmtId="0" fontId="5" fillId="10" borderId="8" xfId="0" applyFont="1" applyFill="1" applyBorder="1" applyAlignment="1">
      <alignment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1" fontId="5" fillId="10" borderId="0" xfId="0" applyNumberFormat="1" applyFont="1" applyFill="1" applyBorder="1" applyAlignment="1">
      <alignment vertical="center"/>
    </xf>
    <xf numFmtId="165" fontId="5" fillId="10" borderId="7" xfId="0" applyNumberFormat="1" applyFont="1" applyFill="1" applyBorder="1" applyAlignment="1">
      <alignment vertical="center"/>
    </xf>
    <xf numFmtId="166" fontId="5" fillId="9" borderId="0" xfId="0" applyNumberFormat="1" applyFont="1" applyFill="1" applyBorder="1" applyAlignment="1">
      <alignment vertical="center"/>
    </xf>
    <xf numFmtId="0" fontId="5" fillId="9" borderId="0" xfId="0" applyFont="1" applyFill="1" applyBorder="1" applyAlignment="1">
      <alignment vertical="center"/>
    </xf>
    <xf numFmtId="2" fontId="5" fillId="9" borderId="0" xfId="0" applyNumberFormat="1" applyFont="1" applyFill="1" applyBorder="1" applyAlignment="1">
      <alignment vertical="center"/>
    </xf>
    <xf numFmtId="2" fontId="5" fillId="0" borderId="0" xfId="0" applyNumberFormat="1" applyFont="1" applyFill="1" applyBorder="1" applyAlignment="1">
      <alignment vertical="center"/>
    </xf>
    <xf numFmtId="0" fontId="5" fillId="10" borderId="4" xfId="0" applyFont="1" applyFill="1" applyBorder="1" applyAlignment="1">
      <alignment vertical="center"/>
    </xf>
    <xf numFmtId="0" fontId="14" fillId="0" borderId="0" xfId="0" applyFont="1" applyFill="1" applyBorder="1" applyAlignment="1">
      <alignment vertical="center"/>
    </xf>
    <xf numFmtId="0" fontId="5" fillId="10" borderId="6" xfId="0" applyFont="1" applyFill="1" applyBorder="1" applyAlignment="1">
      <alignment vertical="center"/>
    </xf>
    <xf numFmtId="0" fontId="12" fillId="0" borderId="0" xfId="0" applyFont="1" applyFill="1" applyBorder="1" applyAlignment="1">
      <alignment vertical="center"/>
    </xf>
    <xf numFmtId="0" fontId="5" fillId="0" borderId="0" xfId="0" applyFont="1" applyAlignment="1">
      <alignment horizontal="left" vertical="center"/>
    </xf>
    <xf numFmtId="0" fontId="9" fillId="0" borderId="0" xfId="0" applyFont="1" applyFill="1" applyBorder="1" applyAlignment="1">
      <alignment vertical="center"/>
    </xf>
    <xf numFmtId="0" fontId="5" fillId="5" borderId="20" xfId="0" applyFont="1" applyFill="1" applyBorder="1" applyAlignment="1">
      <alignment vertical="center"/>
    </xf>
    <xf numFmtId="0" fontId="5" fillId="5" borderId="0" xfId="0" applyFont="1" applyFill="1" applyBorder="1" applyAlignment="1">
      <alignment vertical="center"/>
    </xf>
    <xf numFmtId="0" fontId="5" fillId="5" borderId="18" xfId="0" applyFont="1" applyFill="1" applyBorder="1" applyAlignment="1">
      <alignment vertical="center"/>
    </xf>
    <xf numFmtId="0" fontId="5" fillId="0" borderId="33" xfId="0" applyFont="1" applyBorder="1" applyAlignment="1">
      <alignment vertical="center"/>
    </xf>
    <xf numFmtId="0" fontId="5" fillId="9" borderId="10" xfId="0" applyFont="1" applyFill="1" applyBorder="1" applyAlignment="1">
      <alignment horizontal="center" vertical="center"/>
    </xf>
    <xf numFmtId="0" fontId="5" fillId="0" borderId="26" xfId="0" applyFont="1" applyBorder="1" applyAlignment="1">
      <alignment horizontal="left" vertical="center"/>
    </xf>
    <xf numFmtId="0" fontId="5" fillId="0" borderId="34" xfId="0" applyFont="1" applyBorder="1" applyAlignment="1">
      <alignment horizontal="left" vertical="center"/>
    </xf>
    <xf numFmtId="9" fontId="5" fillId="9" borderId="21" xfId="0" applyNumberFormat="1" applyFont="1" applyFill="1" applyBorder="1" applyAlignment="1">
      <alignment horizontal="center" vertical="center"/>
    </xf>
    <xf numFmtId="0" fontId="5" fillId="0" borderId="21" xfId="0" applyFont="1" applyBorder="1" applyAlignment="1">
      <alignment vertical="center"/>
    </xf>
    <xf numFmtId="0" fontId="5" fillId="0" borderId="20" xfId="0" applyFont="1" applyBorder="1" applyAlignment="1">
      <alignment vertical="center"/>
    </xf>
    <xf numFmtId="9" fontId="5" fillId="9" borderId="0" xfId="0" applyNumberFormat="1" applyFont="1" applyFill="1" applyBorder="1" applyAlignment="1">
      <alignment horizontal="center" vertical="center"/>
    </xf>
    <xf numFmtId="0" fontId="5" fillId="0" borderId="18" xfId="0" applyFont="1" applyBorder="1" applyAlignment="1">
      <alignment horizontal="left" vertical="center"/>
    </xf>
    <xf numFmtId="0" fontId="6" fillId="0" borderId="0" xfId="0" applyFont="1" applyFill="1" applyBorder="1" applyAlignment="1">
      <alignment horizontal="center" vertical="center"/>
    </xf>
    <xf numFmtId="165" fontId="5" fillId="10" borderId="21" xfId="0" applyNumberFormat="1" applyFont="1" applyFill="1" applyBorder="1" applyAlignment="1">
      <alignment horizontal="center" vertical="center"/>
    </xf>
    <xf numFmtId="0" fontId="5" fillId="0" borderId="27" xfId="0" applyFont="1" applyBorder="1" applyAlignment="1">
      <alignment vertical="center"/>
    </xf>
    <xf numFmtId="0" fontId="6" fillId="3" borderId="0" xfId="0" applyFont="1" applyFill="1" applyBorder="1" applyAlignment="1">
      <alignment horizontal="center" vertical="center"/>
    </xf>
    <xf numFmtId="0" fontId="5" fillId="3" borderId="0" xfId="0" applyFont="1" applyFill="1" applyAlignment="1">
      <alignment vertical="center"/>
    </xf>
    <xf numFmtId="0" fontId="5" fillId="3" borderId="0" xfId="0" applyFont="1" applyFill="1" applyAlignment="1">
      <alignment horizontal="left" vertical="center"/>
    </xf>
    <xf numFmtId="0" fontId="5" fillId="0" borderId="4" xfId="0" applyFont="1" applyFill="1" applyBorder="1" applyAlignment="1">
      <alignment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Border="1" applyAlignment="1">
      <alignment vertical="center"/>
    </xf>
    <xf numFmtId="0" fontId="6" fillId="0" borderId="6"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vertical="center"/>
    </xf>
    <xf numFmtId="0" fontId="5" fillId="9" borderId="2" xfId="0" applyFont="1" applyFill="1" applyBorder="1" applyAlignment="1">
      <alignment vertical="center"/>
    </xf>
    <xf numFmtId="0" fontId="5" fillId="0" borderId="3" xfId="0" applyFont="1" applyBorder="1" applyAlignment="1">
      <alignment vertical="center"/>
    </xf>
    <xf numFmtId="1" fontId="5" fillId="9" borderId="7" xfId="0" applyNumberFormat="1" applyFont="1" applyFill="1" applyBorder="1" applyAlignment="1">
      <alignment vertical="center"/>
    </xf>
    <xf numFmtId="0" fontId="14" fillId="0" borderId="0" xfId="0" applyFont="1" applyFill="1" applyBorder="1" applyAlignment="1">
      <alignment horizontal="center" vertical="center"/>
    </xf>
    <xf numFmtId="0" fontId="5" fillId="0" borderId="6" xfId="0" applyFont="1" applyFill="1" applyBorder="1" applyAlignment="1">
      <alignment vertical="center"/>
    </xf>
    <xf numFmtId="0" fontId="5" fillId="10" borderId="8" xfId="0" applyFont="1" applyFill="1" applyBorder="1" applyAlignment="1">
      <alignment horizontal="center" vertical="center"/>
    </xf>
    <xf numFmtId="164" fontId="5" fillId="10" borderId="0" xfId="0" applyNumberFormat="1" applyFont="1" applyFill="1" applyBorder="1" applyAlignment="1">
      <alignment vertical="center"/>
    </xf>
    <xf numFmtId="0" fontId="5" fillId="0" borderId="0" xfId="0" applyFont="1" applyBorder="1" applyAlignment="1">
      <alignment horizontal="center" vertical="center"/>
    </xf>
    <xf numFmtId="0" fontId="5" fillId="0" borderId="6" xfId="0" applyFont="1" applyFill="1" applyBorder="1" applyAlignment="1">
      <alignment horizontal="left" vertical="center"/>
    </xf>
    <xf numFmtId="0" fontId="5" fillId="9" borderId="7" xfId="0" applyFont="1" applyFill="1" applyBorder="1" applyAlignment="1">
      <alignment horizontal="right" vertical="center"/>
    </xf>
    <xf numFmtId="164" fontId="5" fillId="0" borderId="0" xfId="0" applyNumberFormat="1" applyFont="1" applyBorder="1" applyAlignment="1">
      <alignment vertical="center"/>
    </xf>
    <xf numFmtId="0" fontId="13" fillId="0" borderId="0" xfId="0" applyFont="1" applyFill="1" applyBorder="1" applyAlignment="1">
      <alignment vertical="center"/>
    </xf>
    <xf numFmtId="0" fontId="16" fillId="0" borderId="4" xfId="0" applyFont="1" applyFill="1" applyBorder="1" applyAlignment="1">
      <alignment horizontal="left" vertical="center"/>
    </xf>
    <xf numFmtId="2" fontId="16" fillId="9" borderId="0" xfId="0" applyNumberFormat="1" applyFont="1" applyFill="1" applyBorder="1" applyAlignment="1">
      <alignment horizontal="right" vertical="center"/>
    </xf>
    <xf numFmtId="0" fontId="16" fillId="0" borderId="5" xfId="0" applyFont="1" applyFill="1" applyBorder="1" applyAlignment="1">
      <alignment horizontal="left" vertical="center"/>
    </xf>
    <xf numFmtId="0" fontId="10" fillId="0" borderId="0" xfId="0" applyFont="1" applyFill="1" applyBorder="1" applyAlignment="1">
      <alignment vertical="center"/>
    </xf>
    <xf numFmtId="0" fontId="5" fillId="9" borderId="7" xfId="0" applyFont="1" applyFill="1" applyBorder="1" applyAlignment="1">
      <alignment vertical="center"/>
    </xf>
    <xf numFmtId="0" fontId="5" fillId="9" borderId="7" xfId="0" applyFont="1" applyFill="1" applyBorder="1" applyAlignment="1">
      <alignment horizontal="center" vertical="center"/>
    </xf>
    <xf numFmtId="0" fontId="5" fillId="5" borderId="4" xfId="0" applyFont="1" applyFill="1" applyBorder="1" applyAlignment="1">
      <alignment vertical="center"/>
    </xf>
    <xf numFmtId="0" fontId="5" fillId="5" borderId="19" xfId="0" applyFont="1" applyFill="1" applyBorder="1" applyAlignment="1">
      <alignment horizontal="center" vertical="center"/>
    </xf>
    <xf numFmtId="0" fontId="5" fillId="5"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5" borderId="6" xfId="0" applyFont="1" applyFill="1" applyBorder="1" applyAlignment="1">
      <alignment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0" xfId="0" applyFont="1" applyAlignment="1">
      <alignment horizontal="right" vertical="center"/>
    </xf>
    <xf numFmtId="0" fontId="10" fillId="5" borderId="1" xfId="0" applyFont="1" applyFill="1" applyBorder="1" applyAlignment="1">
      <alignment horizontal="center" vertical="center"/>
    </xf>
    <xf numFmtId="0" fontId="10" fillId="5" borderId="25"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2" fontId="5" fillId="8" borderId="0" xfId="0" applyNumberFormat="1" applyFont="1" applyFill="1" applyBorder="1" applyAlignment="1">
      <alignment horizontal="center" vertical="center"/>
    </xf>
    <xf numFmtId="2" fontId="5" fillId="8" borderId="5"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8" borderId="7" xfId="0" applyNumberFormat="1" applyFont="1" applyFill="1" applyBorder="1" applyAlignment="1">
      <alignment horizontal="center" vertical="center"/>
    </xf>
    <xf numFmtId="2" fontId="5" fillId="8" borderId="8" xfId="0" applyNumberFormat="1" applyFont="1" applyFill="1" applyBorder="1" applyAlignment="1">
      <alignment horizontal="center" vertical="center"/>
    </xf>
    <xf numFmtId="0" fontId="10" fillId="5" borderId="4" xfId="0" applyFont="1" applyFill="1" applyBorder="1" applyAlignment="1">
      <alignment horizontal="center" vertical="center"/>
    </xf>
    <xf numFmtId="0" fontId="5" fillId="0" borderId="2" xfId="0" applyFont="1" applyBorder="1" applyAlignment="1">
      <alignment vertical="center"/>
    </xf>
    <xf numFmtId="2" fontId="5" fillId="0" borderId="2" xfId="0" applyNumberFormat="1" applyFont="1" applyBorder="1" applyAlignment="1">
      <alignment horizontal="center" vertical="center"/>
    </xf>
    <xf numFmtId="0" fontId="5" fillId="8" borderId="2" xfId="0" applyFont="1" applyFill="1" applyBorder="1" applyAlignment="1">
      <alignment horizontal="center" vertical="center"/>
    </xf>
    <xf numFmtId="0" fontId="5" fillId="8" borderId="7" xfId="0" applyFont="1" applyFill="1" applyBorder="1" applyAlignment="1">
      <alignment horizontal="center" vertical="center"/>
    </xf>
    <xf numFmtId="0" fontId="0" fillId="0" borderId="0" xfId="0"/>
    <xf numFmtId="0" fontId="0" fillId="0" borderId="0" xfId="0"/>
    <xf numFmtId="0" fontId="0" fillId="0" borderId="0" xfId="0" applyAlignment="1">
      <alignment horizontal="center"/>
    </xf>
    <xf numFmtId="2" fontId="0" fillId="0" borderId="0" xfId="0" applyNumberFormat="1" applyFill="1" applyBorder="1"/>
    <xf numFmtId="0" fontId="24" fillId="0" borderId="0" xfId="0" applyFont="1"/>
    <xf numFmtId="0" fontId="0" fillId="0" borderId="0" xfId="0"/>
    <xf numFmtId="0" fontId="0" fillId="13" borderId="1" xfId="0" applyFill="1" applyBorder="1"/>
    <xf numFmtId="0" fontId="0" fillId="13" borderId="3" xfId="0" applyFill="1" applyBorder="1"/>
    <xf numFmtId="0" fontId="0" fillId="13" borderId="6" xfId="0" applyFill="1" applyBorder="1"/>
    <xf numFmtId="0" fontId="0" fillId="13" borderId="8" xfId="0" applyFill="1" applyBorder="1"/>
    <xf numFmtId="0" fontId="0" fillId="0" borderId="46" xfId="0" applyBorder="1" applyAlignment="1">
      <alignment horizontal="center"/>
    </xf>
    <xf numFmtId="0" fontId="0" fillId="0" borderId="8" xfId="0" applyBorder="1"/>
    <xf numFmtId="166" fontId="5" fillId="9" borderId="0" xfId="0" applyNumberFormat="1" applyFont="1" applyFill="1" applyBorder="1" applyAlignment="1">
      <alignment horizontal="center" vertical="center"/>
    </xf>
    <xf numFmtId="0" fontId="0" fillId="0" borderId="0" xfId="0" applyNumberFormat="1"/>
    <xf numFmtId="0" fontId="0" fillId="10" borderId="0" xfId="0" applyFill="1" applyBorder="1" applyAlignment="1">
      <alignment horizontal="center"/>
    </xf>
    <xf numFmtId="0" fontId="0" fillId="9" borderId="0" xfId="0" applyFill="1" applyBorder="1" applyAlignment="1">
      <alignment horizontal="center"/>
    </xf>
    <xf numFmtId="0" fontId="0" fillId="0" borderId="4" xfId="0" applyFill="1" applyBorder="1"/>
    <xf numFmtId="0" fontId="0" fillId="0" borderId="6" xfId="0" applyFill="1" applyBorder="1"/>
    <xf numFmtId="0" fontId="0" fillId="0" borderId="8" xfId="0" applyFill="1" applyBorder="1"/>
    <xf numFmtId="2" fontId="0" fillId="10" borderId="0" xfId="0" applyNumberFormat="1" applyFill="1" applyBorder="1" applyAlignment="1">
      <alignment horizontal="center"/>
    </xf>
    <xf numFmtId="3" fontId="0" fillId="10" borderId="7" xfId="0" applyNumberFormat="1" applyFill="1" applyBorder="1" applyAlignment="1">
      <alignment horizontal="center"/>
    </xf>
    <xf numFmtId="0" fontId="0" fillId="5" borderId="1" xfId="0" applyFill="1" applyBorder="1"/>
    <xf numFmtId="0" fontId="0" fillId="5" borderId="2" xfId="0" applyFill="1" applyBorder="1"/>
    <xf numFmtId="0" fontId="0" fillId="5" borderId="3" xfId="0" applyFill="1" applyBorder="1"/>
    <xf numFmtId="0" fontId="0" fillId="0" borderId="4"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0" xfId="0" quotePrefix="1" applyFill="1" applyBorder="1" applyAlignment="1">
      <alignment horizontal="center"/>
    </xf>
    <xf numFmtId="169" fontId="0" fillId="10" borderId="0" xfId="0" applyNumberFormat="1" applyFill="1" applyBorder="1" applyAlignment="1">
      <alignment horizontal="center"/>
    </xf>
    <xf numFmtId="0" fontId="0" fillId="0" borderId="5" xfId="0" applyFill="1" applyBorder="1"/>
    <xf numFmtId="11" fontId="0" fillId="10" borderId="0" xfId="0" quotePrefix="1" applyNumberFormat="1" applyFill="1" applyBorder="1" applyAlignment="1">
      <alignment horizontal="center"/>
    </xf>
    <xf numFmtId="0" fontId="24" fillId="0" borderId="4" xfId="0" applyFont="1" applyBorder="1"/>
    <xf numFmtId="3" fontId="0" fillId="0" borderId="0" xfId="0" applyNumberFormat="1"/>
    <xf numFmtId="3" fontId="0" fillId="0" borderId="45" xfId="0" applyNumberFormat="1" applyFill="1" applyBorder="1" applyAlignment="1">
      <alignment horizontal="center"/>
    </xf>
    <xf numFmtId="0" fontId="0" fillId="0" borderId="47" xfId="0" applyNumberFormat="1" applyFill="1" applyBorder="1" applyAlignment="1">
      <alignment horizontal="center"/>
    </xf>
    <xf numFmtId="3" fontId="0" fillId="0" borderId="50" xfId="0" applyNumberFormat="1" applyFill="1" applyBorder="1" applyAlignment="1">
      <alignment horizontal="center"/>
    </xf>
    <xf numFmtId="0" fontId="0" fillId="0" borderId="49" xfId="0" applyNumberFormat="1" applyFill="1" applyBorder="1" applyAlignment="1">
      <alignment horizontal="center"/>
    </xf>
    <xf numFmtId="0" fontId="0" fillId="0" borderId="5" xfId="0" applyFill="1" applyBorder="1" applyAlignment="1">
      <alignment horizontal="center"/>
    </xf>
    <xf numFmtId="0" fontId="0" fillId="0" borderId="8" xfId="0" applyFill="1" applyBorder="1" applyAlignment="1">
      <alignment horizontal="center"/>
    </xf>
    <xf numFmtId="11" fontId="5" fillId="0" borderId="0" xfId="0" applyNumberFormat="1" applyFont="1" applyFill="1" applyAlignment="1">
      <alignment vertical="center"/>
    </xf>
    <xf numFmtId="0" fontId="0" fillId="0" borderId="46" xfId="0" applyBorder="1"/>
    <xf numFmtId="0" fontId="0" fillId="0" borderId="47" xfId="0" applyBorder="1"/>
    <xf numFmtId="0" fontId="0" fillId="0" borderId="48" xfId="0" applyBorder="1"/>
    <xf numFmtId="0" fontId="0" fillId="0" borderId="49" xfId="0" applyBorder="1"/>
    <xf numFmtId="167" fontId="5" fillId="10" borderId="0" xfId="0" applyNumberFormat="1" applyFont="1" applyFill="1" applyBorder="1" applyAlignment="1">
      <alignment horizontal="center"/>
    </xf>
    <xf numFmtId="166" fontId="10" fillId="11" borderId="7" xfId="0" applyNumberFormat="1" applyFont="1" applyFill="1" applyBorder="1" applyAlignment="1">
      <alignment horizontal="center"/>
    </xf>
    <xf numFmtId="9" fontId="0" fillId="9" borderId="0" xfId="0" applyNumberFormat="1" applyFill="1" applyBorder="1" applyAlignment="1">
      <alignment horizontal="center"/>
    </xf>
    <xf numFmtId="0" fontId="10" fillId="0" borderId="4" xfId="0" applyFont="1" applyBorder="1"/>
    <xf numFmtId="166" fontId="10" fillId="10" borderId="0" xfId="0" applyNumberFormat="1" applyFont="1" applyFill="1" applyBorder="1" applyAlignment="1">
      <alignment horizontal="center"/>
    </xf>
    <xf numFmtId="166" fontId="10" fillId="0" borderId="4" xfId="0" applyNumberFormat="1" applyFont="1" applyFill="1" applyBorder="1" applyAlignment="1">
      <alignment horizontal="left"/>
    </xf>
    <xf numFmtId="166" fontId="10" fillId="0" borderId="5" xfId="0" applyNumberFormat="1" applyFont="1" applyFill="1" applyBorder="1" applyAlignment="1">
      <alignment horizontal="left"/>
    </xf>
    <xf numFmtId="3" fontId="10" fillId="10" borderId="0" xfId="0" applyNumberFormat="1" applyFont="1" applyFill="1" applyBorder="1" applyAlignment="1">
      <alignment horizontal="center"/>
    </xf>
    <xf numFmtId="0" fontId="0" fillId="0" borderId="0" xfId="0" applyBorder="1"/>
    <xf numFmtId="0" fontId="0" fillId="0" borderId="5" xfId="0" applyBorder="1"/>
    <xf numFmtId="0" fontId="0" fillId="0" borderId="0" xfId="0" applyFill="1" applyBorder="1"/>
    <xf numFmtId="0" fontId="0" fillId="0" borderId="4" xfId="0" applyFill="1" applyBorder="1" applyAlignment="1">
      <alignment horizontal="left"/>
    </xf>
    <xf numFmtId="0" fontId="0" fillId="0" borderId="4"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3" xfId="0" applyFill="1" applyBorder="1"/>
    <xf numFmtId="0" fontId="0" fillId="0" borderId="0" xfId="0"/>
    <xf numFmtId="0" fontId="0" fillId="0" borderId="4" xfId="0" applyFill="1" applyBorder="1" applyAlignment="1">
      <alignment horizontal="left"/>
    </xf>
    <xf numFmtId="0" fontId="0" fillId="0" borderId="0" xfId="0" applyFill="1" applyBorder="1" applyAlignment="1">
      <alignment horizontal="center"/>
    </xf>
    <xf numFmtId="3" fontId="0" fillId="10" borderId="2" xfId="0" applyNumberFormat="1" applyFill="1" applyBorder="1" applyAlignment="1">
      <alignment horizontal="center"/>
    </xf>
    <xf numFmtId="43" fontId="0" fillId="0" borderId="0" xfId="0" applyNumberFormat="1"/>
    <xf numFmtId="0" fontId="5" fillId="9" borderId="0" xfId="0" applyNumberFormat="1" applyFont="1" applyFill="1" applyBorder="1" applyAlignment="1">
      <alignment horizontal="center"/>
    </xf>
    <xf numFmtId="43" fontId="0" fillId="0" borderId="0" xfId="14" applyFont="1"/>
    <xf numFmtId="0" fontId="0" fillId="0" borderId="0" xfId="0"/>
    <xf numFmtId="0" fontId="0" fillId="0" borderId="0" xfId="0"/>
    <xf numFmtId="11" fontId="0" fillId="0" borderId="0" xfId="0" applyNumberFormat="1"/>
    <xf numFmtId="0" fontId="0" fillId="0" borderId="4" xfId="0" applyFill="1" applyBorder="1" applyAlignment="1">
      <alignment horizontal="center" vertical="center"/>
    </xf>
    <xf numFmtId="0" fontId="0" fillId="0" borderId="6" xfId="0" applyFill="1" applyBorder="1" applyAlignment="1">
      <alignment horizontal="center" vertical="center"/>
    </xf>
    <xf numFmtId="3" fontId="0" fillId="0" borderId="0" xfId="0" applyNumberFormat="1" applyFill="1" applyBorder="1" applyAlignment="1">
      <alignment horizontal="center" vertical="center"/>
    </xf>
    <xf numFmtId="0" fontId="0" fillId="0" borderId="4" xfId="0" applyFill="1" applyBorder="1"/>
    <xf numFmtId="3" fontId="0" fillId="0" borderId="4" xfId="0" applyNumberFormat="1" applyFill="1" applyBorder="1" applyAlignment="1">
      <alignment horizontal="center"/>
    </xf>
    <xf numFmtId="3" fontId="0" fillId="0" borderId="6" xfId="0" applyNumberFormat="1" applyFill="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6" xfId="0" applyFill="1" applyBorder="1" applyAlignment="1">
      <alignment horizontal="right"/>
    </xf>
    <xf numFmtId="0" fontId="0" fillId="0" borderId="4" xfId="0" applyBorder="1" applyAlignment="1">
      <alignment horizontal="right"/>
    </xf>
    <xf numFmtId="0" fontId="0" fillId="0" borderId="8" xfId="0" applyBorder="1"/>
    <xf numFmtId="0" fontId="0" fillId="0" borderId="5" xfId="0" applyBorder="1"/>
    <xf numFmtId="2" fontId="5" fillId="9" borderId="0" xfId="0" applyNumberFormat="1" applyFont="1" applyFill="1" applyBorder="1" applyAlignment="1">
      <alignment horizontal="center"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3" xfId="0" applyFont="1" applyFill="1" applyBorder="1" applyAlignment="1">
      <alignment horizontal="left"/>
    </xf>
    <xf numFmtId="165" fontId="5" fillId="9" borderId="0" xfId="0" applyNumberFormat="1" applyFont="1" applyFill="1" applyBorder="1" applyAlignment="1">
      <alignment horizontal="center"/>
    </xf>
    <xf numFmtId="167" fontId="5" fillId="0" borderId="7" xfId="0" applyNumberFormat="1" applyFont="1" applyBorder="1" applyAlignment="1">
      <alignment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applyFont="1" applyFill="1" applyBorder="1" applyAlignment="1">
      <alignment horizontal="left" vertical="center"/>
    </xf>
    <xf numFmtId="164" fontId="5" fillId="0" borderId="0"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0" fontId="5" fillId="0" borderId="4" xfId="0" quotePrefix="1" applyFont="1" applyBorder="1" applyAlignment="1">
      <alignment vertical="center"/>
    </xf>
    <xf numFmtId="0" fontId="10" fillId="5" borderId="21" xfId="0" applyFont="1" applyFill="1" applyBorder="1" applyAlignment="1">
      <alignment vertical="center"/>
    </xf>
    <xf numFmtId="0" fontId="10" fillId="5" borderId="22" xfId="0" applyFont="1" applyFill="1" applyBorder="1" applyAlignment="1">
      <alignment vertical="center"/>
    </xf>
    <xf numFmtId="2" fontId="5" fillId="0" borderId="7"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xf numFmtId="0" fontId="5" fillId="0" borderId="7" xfId="0" quotePrefix="1" applyFont="1" applyBorder="1" applyAlignment="1">
      <alignment vertical="center"/>
    </xf>
    <xf numFmtId="3" fontId="5" fillId="8" borderId="5" xfId="0" applyNumberFormat="1" applyFont="1" applyFill="1" applyBorder="1" applyAlignment="1">
      <alignment horizontal="center" vertical="center"/>
    </xf>
    <xf numFmtId="3" fontId="5" fillId="8" borderId="8" xfId="0" applyNumberFormat="1" applyFont="1" applyFill="1" applyBorder="1" applyAlignment="1">
      <alignment horizontal="center" vertical="center"/>
    </xf>
    <xf numFmtId="0" fontId="5" fillId="8" borderId="0" xfId="0" applyFont="1" applyFill="1" applyBorder="1" applyAlignment="1">
      <alignment horizontal="center"/>
    </xf>
    <xf numFmtId="0" fontId="5" fillId="8" borderId="7" xfId="0" applyFont="1" applyFill="1" applyBorder="1" applyAlignment="1">
      <alignment horizontal="center"/>
    </xf>
    <xf numFmtId="0" fontId="5" fillId="5" borderId="7" xfId="0" applyFont="1" applyFill="1" applyBorder="1"/>
    <xf numFmtId="0" fontId="5" fillId="5" borderId="8" xfId="0" applyFont="1" applyFill="1" applyBorder="1"/>
    <xf numFmtId="2" fontId="5" fillId="10" borderId="10" xfId="0" applyNumberFormat="1" applyFont="1" applyFill="1" applyBorder="1" applyAlignment="1">
      <alignment horizontal="left" vertical="center"/>
    </xf>
    <xf numFmtId="4" fontId="5" fillId="10" borderId="7" xfId="0" applyNumberFormat="1" applyFont="1" applyFill="1" applyBorder="1" applyAlignment="1">
      <alignment horizontal="left" vertical="center"/>
    </xf>
    <xf numFmtId="0" fontId="5" fillId="5" borderId="10" xfId="0" applyFont="1" applyFill="1" applyBorder="1"/>
    <xf numFmtId="0" fontId="5" fillId="5" borderId="11" xfId="0" applyFont="1" applyFill="1" applyBorder="1"/>
    <xf numFmtId="2" fontId="5" fillId="10" borderId="7" xfId="0" applyNumberFormat="1" applyFont="1" applyFill="1" applyBorder="1"/>
    <xf numFmtId="4" fontId="5" fillId="0" borderId="0" xfId="0" applyNumberFormat="1" applyFont="1" applyBorder="1"/>
    <xf numFmtId="2" fontId="5" fillId="0" borderId="0" xfId="0" applyNumberFormat="1" applyFont="1" applyBorder="1"/>
    <xf numFmtId="0" fontId="5" fillId="0" borderId="6" xfId="0" applyFont="1" applyBorder="1" applyAlignment="1">
      <alignment horizontal="left" vertical="center"/>
    </xf>
    <xf numFmtId="2" fontId="5" fillId="0" borderId="7" xfId="0" applyNumberFormat="1" applyFont="1" applyBorder="1" applyAlignment="1">
      <alignment vertical="center"/>
    </xf>
    <xf numFmtId="4" fontId="5" fillId="9" borderId="0" xfId="0" applyNumberFormat="1" applyFont="1" applyFill="1" applyBorder="1" applyAlignment="1">
      <alignment vertical="center"/>
    </xf>
    <xf numFmtId="0" fontId="16" fillId="0" borderId="6" xfId="0" applyFont="1" applyFill="1" applyBorder="1" applyAlignment="1">
      <alignment horizontal="left" vertical="center"/>
    </xf>
    <xf numFmtId="2" fontId="16" fillId="9" borderId="7" xfId="0" applyNumberFormat="1" applyFont="1" applyFill="1" applyBorder="1" applyAlignment="1">
      <alignment horizontal="right" vertical="center"/>
    </xf>
    <xf numFmtId="0" fontId="16" fillId="0" borderId="8" xfId="0" applyFont="1" applyFill="1" applyBorder="1" applyAlignment="1">
      <alignment horizontal="left" vertical="center"/>
    </xf>
    <xf numFmtId="0" fontId="5" fillId="0" borderId="24" xfId="0" applyFont="1" applyBorder="1" applyAlignment="1">
      <alignment horizontal="center" vertical="center"/>
    </xf>
    <xf numFmtId="49" fontId="5" fillId="0" borderId="0"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0" fontId="5" fillId="0" borderId="7" xfId="0" applyFont="1" applyFill="1" applyBorder="1" applyAlignment="1">
      <alignment horizontal="center"/>
    </xf>
    <xf numFmtId="0" fontId="5" fillId="0" borderId="0" xfId="0" quotePrefix="1" applyFont="1" applyFill="1" applyBorder="1" applyAlignment="1">
      <alignment vertical="center"/>
    </xf>
    <xf numFmtId="3" fontId="5" fillId="0" borderId="0" xfId="0" applyNumberFormat="1" applyFont="1" applyFill="1" applyBorder="1" applyAlignment="1">
      <alignment horizontal="center" vertical="center"/>
    </xf>
    <xf numFmtId="164" fontId="5" fillId="0" borderId="5" xfId="0" applyNumberFormat="1" applyFont="1" applyFill="1" applyBorder="1" applyAlignment="1">
      <alignment horizontal="center"/>
    </xf>
    <xf numFmtId="0" fontId="5" fillId="0" borderId="6" xfId="0" quotePrefix="1" applyFont="1" applyBorder="1" applyAlignment="1">
      <alignment vertical="center"/>
    </xf>
    <xf numFmtId="49" fontId="5" fillId="0" borderId="7"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6" fontId="5" fillId="0" borderId="4" xfId="0" applyNumberFormat="1" applyFont="1" applyFill="1" applyBorder="1" applyAlignment="1">
      <alignment horizontal="right"/>
    </xf>
    <xf numFmtId="166" fontId="5" fillId="0" borderId="5" xfId="0" applyNumberFormat="1" applyFont="1" applyFill="1" applyBorder="1" applyAlignment="1">
      <alignment horizontal="right"/>
    </xf>
    <xf numFmtId="166" fontId="5" fillId="0" borderId="6" xfId="0" applyNumberFormat="1" applyFont="1" applyFill="1" applyBorder="1" applyAlignment="1">
      <alignment horizontal="right"/>
    </xf>
    <xf numFmtId="0" fontId="5" fillId="0" borderId="8" xfId="0" applyFont="1" applyBorder="1" applyAlignment="1">
      <alignment horizontal="left"/>
    </xf>
    <xf numFmtId="0" fontId="5" fillId="5" borderId="1" xfId="0" applyFont="1" applyFill="1" applyBorder="1" applyAlignment="1">
      <alignment horizontal="left"/>
    </xf>
    <xf numFmtId="170" fontId="5" fillId="9" borderId="0" xfId="0" applyNumberFormat="1" applyFont="1" applyFill="1" applyBorder="1" applyAlignment="1">
      <alignment vertical="center"/>
    </xf>
    <xf numFmtId="0" fontId="5" fillId="5" borderId="11" xfId="0" applyFont="1" applyFill="1" applyBorder="1" applyAlignment="1">
      <alignment horizontal="left"/>
    </xf>
    <xf numFmtId="0" fontId="5" fillId="5" borderId="8" xfId="0" applyFont="1" applyFill="1" applyBorder="1" applyAlignment="1">
      <alignment horizontal="left"/>
    </xf>
    <xf numFmtId="0" fontId="10" fillId="5" borderId="20" xfId="0" applyFont="1" applyFill="1" applyBorder="1" applyAlignment="1">
      <alignment horizontal="center" vertical="center"/>
    </xf>
    <xf numFmtId="0" fontId="5" fillId="0" borderId="33" xfId="0" applyFont="1" applyBorder="1"/>
    <xf numFmtId="0" fontId="5" fillId="8" borderId="10" xfId="0" applyFont="1" applyFill="1" applyBorder="1" applyAlignment="1">
      <alignment horizontal="center" vertical="center"/>
    </xf>
    <xf numFmtId="0" fontId="5" fillId="8" borderId="26" xfId="0" applyFont="1" applyFill="1" applyBorder="1" applyAlignment="1">
      <alignment horizontal="center" vertical="center"/>
    </xf>
    <xf numFmtId="0" fontId="5" fillId="8" borderId="18" xfId="0" applyFont="1" applyFill="1" applyBorder="1" applyAlignment="1">
      <alignment horizontal="center" vertical="center"/>
    </xf>
    <xf numFmtId="2" fontId="5" fillId="8" borderId="18" xfId="0" applyNumberFormat="1" applyFont="1" applyFill="1" applyBorder="1" applyAlignment="1">
      <alignment horizontal="center" vertical="center"/>
    </xf>
    <xf numFmtId="0" fontId="10" fillId="5" borderId="34"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27" xfId="0" applyFont="1" applyFill="1" applyBorder="1" applyAlignment="1">
      <alignment horizontal="center" vertical="center"/>
    </xf>
    <xf numFmtId="2" fontId="0" fillId="0" borderId="0" xfId="0" applyNumberFormat="1" applyFill="1" applyBorder="1" applyAlignment="1">
      <alignment horizontal="center" vertical="center"/>
    </xf>
    <xf numFmtId="2" fontId="0" fillId="0" borderId="0" xfId="0" applyNumberFormat="1"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7" xfId="0" applyFill="1" applyBorder="1" applyAlignment="1">
      <alignment horizontal="center" vertical="center"/>
    </xf>
    <xf numFmtId="0" fontId="0" fillId="0" borderId="0" xfId="0"/>
    <xf numFmtId="3" fontId="5" fillId="10" borderId="0" xfId="0" applyNumberFormat="1" applyFont="1" applyFill="1" applyBorder="1" applyAlignment="1">
      <alignment horizontal="center"/>
    </xf>
    <xf numFmtId="3" fontId="0" fillId="10" borderId="0" xfId="0" applyNumberFormat="1" applyFill="1" applyBorder="1" applyAlignment="1">
      <alignment horizont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3" fontId="0" fillId="0" borderId="5" xfId="0" applyNumberFormat="1" applyFill="1" applyBorder="1" applyAlignment="1">
      <alignment horizontal="center" vertical="center"/>
    </xf>
    <xf numFmtId="3" fontId="0" fillId="0" borderId="8" xfId="0" applyNumberFormat="1" applyFill="1" applyBorder="1" applyAlignment="1">
      <alignment horizontal="center" vertical="center"/>
    </xf>
    <xf numFmtId="0" fontId="0" fillId="0" borderId="4" xfId="0" applyFill="1" applyBorder="1" applyAlignment="1">
      <alignment horizontal="center" vertical="center"/>
    </xf>
    <xf numFmtId="166" fontId="0" fillId="0" borderId="5" xfId="0" applyNumberFormat="1" applyBorder="1"/>
    <xf numFmtId="0" fontId="0" fillId="0" borderId="4" xfId="0" applyBorder="1" applyAlignment="1">
      <alignment horizontal="center"/>
    </xf>
    <xf numFmtId="11" fontId="0" fillId="9" borderId="0" xfId="0" applyNumberFormat="1" applyFill="1" applyBorder="1" applyAlignment="1">
      <alignment horizontal="center"/>
    </xf>
    <xf numFmtId="0" fontId="0" fillId="0" borderId="3" xfId="0" applyBorder="1" applyAlignment="1">
      <alignment horizontal="center"/>
    </xf>
    <xf numFmtId="2" fontId="0" fillId="9" borderId="0" xfId="0" applyNumberFormat="1" applyFill="1" applyBorder="1" applyAlignment="1">
      <alignment horizontal="center"/>
    </xf>
    <xf numFmtId="0" fontId="0" fillId="0" borderId="47" xfId="0" quotePrefix="1" applyBorder="1" applyAlignment="1">
      <alignment horizontal="center"/>
    </xf>
    <xf numFmtId="0" fontId="0" fillId="0" borderId="5" xfId="0" quotePrefix="1" applyBorder="1" applyAlignment="1">
      <alignment horizont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3" fontId="0" fillId="0" borderId="46" xfId="0" applyNumberFormat="1" applyFill="1" applyBorder="1" applyAlignment="1">
      <alignment horizontal="center" vertical="center"/>
    </xf>
    <xf numFmtId="3" fontId="0" fillId="0" borderId="48" xfId="0" applyNumberFormat="1" applyFill="1" applyBorder="1" applyAlignment="1">
      <alignment horizontal="center" vertical="center"/>
    </xf>
    <xf numFmtId="17" fontId="0" fillId="0" borderId="5" xfId="0" quotePrefix="1" applyNumberFormat="1" applyBorder="1" applyAlignment="1">
      <alignment horizontal="center"/>
    </xf>
    <xf numFmtId="0" fontId="0" fillId="0" borderId="4" xfId="0" applyBorder="1" applyAlignment="1">
      <alignment vertical="center"/>
    </xf>
    <xf numFmtId="0" fontId="0" fillId="0" borderId="0" xfId="0" applyAlignment="1">
      <alignment vertical="center"/>
    </xf>
    <xf numFmtId="0" fontId="0" fillId="10" borderId="0" xfId="0" quotePrefix="1" applyFill="1" applyBorder="1" applyAlignment="1">
      <alignment horizontal="center"/>
    </xf>
    <xf numFmtId="2" fontId="0" fillId="10" borderId="5" xfId="0" quotePrefix="1" applyNumberFormat="1" applyFill="1" applyBorder="1" applyAlignment="1">
      <alignment horizontal="center"/>
    </xf>
    <xf numFmtId="2" fontId="0" fillId="10" borderId="0" xfId="0" quotePrefix="1" applyNumberFormat="1" applyFill="1" applyBorder="1" applyAlignment="1">
      <alignment horizontal="center"/>
    </xf>
    <xf numFmtId="2" fontId="0" fillId="10" borderId="7" xfId="0" quotePrefix="1" applyNumberFormat="1" applyFill="1" applyBorder="1" applyAlignment="1">
      <alignment horizontal="center"/>
    </xf>
    <xf numFmtId="2" fontId="0" fillId="10" borderId="8" xfId="0" quotePrefix="1" applyNumberFormat="1" applyFill="1" applyBorder="1" applyAlignment="1">
      <alignment horizontal="center"/>
    </xf>
    <xf numFmtId="0" fontId="0" fillId="0" borderId="48" xfId="0" applyBorder="1" applyAlignment="1">
      <alignment horizontal="center"/>
    </xf>
    <xf numFmtId="0" fontId="0" fillId="0" borderId="49" xfId="0" quotePrefix="1" applyBorder="1" applyAlignment="1">
      <alignment horizontal="center"/>
    </xf>
    <xf numFmtId="16" fontId="0" fillId="0" borderId="3" xfId="0" quotePrefix="1" applyNumberFormat="1" applyBorder="1" applyAlignment="1">
      <alignment horizontal="center"/>
    </xf>
    <xf numFmtId="0" fontId="0" fillId="5" borderId="54" xfId="0" applyFill="1" applyBorder="1" applyAlignment="1">
      <alignment horizontal="center"/>
    </xf>
    <xf numFmtId="0" fontId="0" fillId="5" borderId="55" xfId="0" applyFill="1" applyBorder="1" applyAlignment="1">
      <alignment horizontal="center"/>
    </xf>
    <xf numFmtId="0" fontId="0" fillId="5" borderId="56" xfId="0" applyFill="1" applyBorder="1" applyAlignment="1">
      <alignment horizontal="center"/>
    </xf>
    <xf numFmtId="0" fontId="1" fillId="0" borderId="6" xfId="0" applyFont="1" applyBorder="1"/>
    <xf numFmtId="3" fontId="1" fillId="10" borderId="7" xfId="0" applyNumberFormat="1" applyFont="1" applyFill="1" applyBorder="1" applyAlignment="1">
      <alignment horizontal="center"/>
    </xf>
    <xf numFmtId="0" fontId="1" fillId="0" borderId="8" xfId="0" applyFont="1" applyFill="1" applyBorder="1"/>
    <xf numFmtId="0" fontId="1" fillId="0" borderId="6" xfId="0" applyFont="1" applyFill="1" applyBorder="1"/>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wrapText="1"/>
    </xf>
    <xf numFmtId="3" fontId="0" fillId="0" borderId="7" xfId="0" applyNumberFormat="1" applyFill="1" applyBorder="1" applyAlignment="1">
      <alignment horizontal="center" vertical="center"/>
    </xf>
    <xf numFmtId="0" fontId="0" fillId="0" borderId="2" xfId="0" applyBorder="1"/>
    <xf numFmtId="0" fontId="2" fillId="0" borderId="0" xfId="0" applyFont="1"/>
    <xf numFmtId="3" fontId="2" fillId="0" borderId="0" xfId="0" applyNumberFormat="1" applyFont="1"/>
    <xf numFmtId="0" fontId="2" fillId="0" borderId="0" xfId="0" applyFont="1" applyFill="1" applyBorder="1"/>
    <xf numFmtId="2" fontId="0" fillId="0" borderId="0" xfId="0" applyNumberFormat="1" applyFill="1" applyBorder="1" applyAlignment="1">
      <alignment horizontal="center"/>
    </xf>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1" fillId="6" borderId="5" xfId="0" applyFont="1" applyFill="1" applyBorder="1" applyAlignment="1">
      <alignment horizontal="center"/>
    </xf>
    <xf numFmtId="2" fontId="0" fillId="0" borderId="5" xfId="0" applyNumberFormat="1" applyBorder="1" applyAlignment="1">
      <alignment horizontal="center"/>
    </xf>
    <xf numFmtId="0" fontId="0" fillId="0" borderId="7" xfId="0"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0" fillId="6" borderId="7" xfId="0" applyFill="1" applyBorder="1" applyAlignment="1">
      <alignment horizontal="center"/>
    </xf>
    <xf numFmtId="0" fontId="1" fillId="6" borderId="7" xfId="0" applyFont="1" applyFill="1" applyBorder="1" applyAlignment="1">
      <alignment horizontal="center"/>
    </xf>
    <xf numFmtId="0" fontId="1" fillId="6" borderId="8" xfId="0" applyFont="1" applyFill="1" applyBorder="1" applyAlignment="1">
      <alignment horizontal="center"/>
    </xf>
    <xf numFmtId="0" fontId="0" fillId="0" borderId="2" xfId="0" applyBorder="1" applyAlignment="1">
      <alignment horizontal="center"/>
    </xf>
    <xf numFmtId="2" fontId="0" fillId="0" borderId="2" xfId="0" applyNumberFormat="1" applyBorder="1" applyAlignment="1">
      <alignment horizontal="center"/>
    </xf>
    <xf numFmtId="0" fontId="0" fillId="0" borderId="0" xfId="0"/>
    <xf numFmtId="2" fontId="0" fillId="0" borderId="0" xfId="0" applyNumberFormat="1"/>
    <xf numFmtId="2" fontId="0" fillId="0" borderId="3" xfId="0" applyNumberFormat="1" applyBorder="1" applyAlignment="1">
      <alignment horizontal="center"/>
    </xf>
    <xf numFmtId="2" fontId="0" fillId="0" borderId="7" xfId="0" applyNumberFormat="1" applyFill="1" applyBorder="1" applyAlignment="1">
      <alignment horizontal="center"/>
    </xf>
    <xf numFmtId="11" fontId="2" fillId="0" borderId="0" xfId="0" applyNumberFormat="1" applyFont="1" applyFill="1" applyBorder="1"/>
    <xf numFmtId="0" fontId="2" fillId="0" borderId="0" xfId="0" applyFont="1" applyFill="1" applyBorder="1" applyAlignment="1">
      <alignment horizontal="center"/>
    </xf>
    <xf numFmtId="0" fontId="2" fillId="0" borderId="1" xfId="0" applyFont="1" applyFill="1" applyBorder="1"/>
    <xf numFmtId="0" fontId="2" fillId="0" borderId="4" xfId="0" applyFont="1" applyFill="1" applyBorder="1"/>
    <xf numFmtId="0" fontId="2" fillId="0" borderId="6" xfId="0" applyFont="1" applyFill="1" applyBorder="1"/>
    <xf numFmtId="0" fontId="0" fillId="0" borderId="2" xfId="0" applyBorder="1"/>
    <xf numFmtId="0" fontId="0" fillId="0" borderId="4" xfId="0" applyFill="1" applyBorder="1" applyAlignment="1">
      <alignment horizontal="right"/>
    </xf>
    <xf numFmtId="0" fontId="0" fillId="0" borderId="6" xfId="0" applyBorder="1" applyAlignment="1">
      <alignment horizontal="right"/>
    </xf>
    <xf numFmtId="3" fontId="10" fillId="0" borderId="0" xfId="0" applyNumberFormat="1" applyFont="1" applyFill="1" applyBorder="1" applyAlignment="1">
      <alignment horizontal="center"/>
    </xf>
    <xf numFmtId="0" fontId="0" fillId="0" borderId="0" xfId="0" applyFill="1" applyBorder="1" applyAlignment="1">
      <alignment horizontal="right"/>
    </xf>
    <xf numFmtId="0" fontId="0" fillId="14" borderId="0" xfId="0" quotePrefix="1" applyFill="1" applyBorder="1" applyAlignment="1">
      <alignment horizontal="center"/>
    </xf>
    <xf numFmtId="167" fontId="5" fillId="10" borderId="0" xfId="0" applyNumberFormat="1" applyFont="1" applyFill="1" applyBorder="1" applyAlignment="1">
      <alignment vertical="center"/>
    </xf>
    <xf numFmtId="3" fontId="5" fillId="0" borderId="0" xfId="0" applyNumberFormat="1" applyFont="1" applyBorder="1" applyAlignment="1">
      <alignment horizontal="right"/>
    </xf>
    <xf numFmtId="3" fontId="16" fillId="9" borderId="0" xfId="0" applyNumberFormat="1" applyFont="1" applyFill="1" applyBorder="1" applyAlignment="1">
      <alignment horizontal="center"/>
    </xf>
    <xf numFmtId="0" fontId="10" fillId="11" borderId="5" xfId="0" applyFont="1" applyFill="1" applyBorder="1" applyAlignment="1">
      <alignment vertical="center"/>
    </xf>
    <xf numFmtId="16" fontId="0" fillId="0" borderId="0" xfId="0" applyNumberFormat="1"/>
    <xf numFmtId="0" fontId="5" fillId="5" borderId="20" xfId="0" applyFont="1" applyFill="1" applyBorder="1" applyAlignment="1">
      <alignment horizontal="center" vertical="center"/>
    </xf>
    <xf numFmtId="0" fontId="13" fillId="5" borderId="57" xfId="0" applyFont="1" applyFill="1" applyBorder="1" applyAlignment="1">
      <alignment vertical="center"/>
    </xf>
    <xf numFmtId="0" fontId="13" fillId="5" borderId="30" xfId="0" applyFont="1" applyFill="1" applyBorder="1" applyAlignment="1">
      <alignment vertical="center"/>
    </xf>
    <xf numFmtId="0" fontId="13" fillId="5" borderId="29" xfId="0" applyFont="1" applyFill="1" applyBorder="1" applyAlignment="1">
      <alignment vertical="center"/>
    </xf>
    <xf numFmtId="0" fontId="5" fillId="5" borderId="34" xfId="0" applyFont="1" applyFill="1" applyBorder="1" applyAlignment="1">
      <alignment vertical="center"/>
    </xf>
    <xf numFmtId="0" fontId="5" fillId="2" borderId="20" xfId="0" applyFont="1" applyFill="1" applyBorder="1" applyAlignment="1">
      <alignment horizontal="center" vertical="center"/>
    </xf>
    <xf numFmtId="0" fontId="5" fillId="2" borderId="34" xfId="0" applyFont="1" applyFill="1" applyBorder="1" applyAlignment="1">
      <alignment horizontal="center" vertical="center"/>
    </xf>
    <xf numFmtId="0" fontId="5" fillId="5" borderId="58" xfId="0" applyFont="1" applyFill="1" applyBorder="1" applyAlignment="1">
      <alignment vertical="center"/>
    </xf>
    <xf numFmtId="0" fontId="5" fillId="5" borderId="19" xfId="0" applyFont="1" applyFill="1" applyBorder="1" applyAlignment="1">
      <alignment vertical="center"/>
    </xf>
    <xf numFmtId="0" fontId="5" fillId="5" borderId="55" xfId="0" applyFont="1" applyFill="1" applyBorder="1" applyAlignment="1">
      <alignment vertical="center"/>
    </xf>
    <xf numFmtId="0" fontId="5" fillId="5" borderId="0" xfId="0" applyFont="1" applyFill="1" applyBorder="1" applyAlignment="1">
      <alignment horizontal="center" vertical="center"/>
    </xf>
    <xf numFmtId="0" fontId="5" fillId="9" borderId="0" xfId="0" applyFont="1" applyFill="1" applyBorder="1" applyAlignment="1">
      <alignment horizontal="center" vertical="center"/>
    </xf>
    <xf numFmtId="2" fontId="5" fillId="10" borderId="10" xfId="0" applyNumberFormat="1" applyFont="1" applyFill="1" applyBorder="1"/>
    <xf numFmtId="0" fontId="5" fillId="0" borderId="4" xfId="0" applyFont="1" applyFill="1" applyBorder="1" applyAlignment="1">
      <alignment horizontal="left" vertical="center"/>
    </xf>
    <xf numFmtId="0" fontId="5" fillId="9" borderId="5" xfId="0" applyFont="1" applyFill="1" applyBorder="1" applyAlignment="1">
      <alignment vertical="center"/>
    </xf>
    <xf numFmtId="164" fontId="5" fillId="0" borderId="0" xfId="0" applyNumberFormat="1" applyFont="1" applyFill="1" applyBorder="1" applyAlignment="1">
      <alignment vertical="center"/>
    </xf>
    <xf numFmtId="2" fontId="5" fillId="9" borderId="0" xfId="0" applyNumberFormat="1" applyFont="1" applyFill="1" applyBorder="1" applyAlignment="1">
      <alignment horizontal="center" vertical="center"/>
    </xf>
    <xf numFmtId="0" fontId="0" fillId="0" borderId="3" xfId="0" applyBorder="1"/>
    <xf numFmtId="0" fontId="10" fillId="0" borderId="1" xfId="0" applyFont="1" applyBorder="1" applyAlignment="1">
      <alignment vertical="center"/>
    </xf>
    <xf numFmtId="2" fontId="5" fillId="0" borderId="2" xfId="0" applyNumberFormat="1" applyFont="1" applyFill="1" applyBorder="1" applyAlignment="1">
      <alignment horizontal="center" vertical="center"/>
    </xf>
    <xf numFmtId="2" fontId="5" fillId="9" borderId="7" xfId="0" applyNumberFormat="1" applyFont="1" applyFill="1" applyBorder="1" applyAlignment="1">
      <alignment horizontal="center" vertical="center"/>
    </xf>
    <xf numFmtId="0" fontId="37" fillId="0" borderId="4" xfId="0" applyFont="1" applyBorder="1"/>
    <xf numFmtId="3" fontId="10" fillId="11" borderId="0" xfId="0" applyNumberFormat="1" applyFont="1" applyFill="1" applyBorder="1" applyAlignment="1">
      <alignment horizontal="center"/>
    </xf>
    <xf numFmtId="1" fontId="13" fillId="10" borderId="0" xfId="14" applyNumberFormat="1" applyFont="1" applyFill="1" applyBorder="1" applyAlignment="1">
      <alignment horizontal="center" vertical="center"/>
    </xf>
    <xf numFmtId="0" fontId="2" fillId="0" borderId="5" xfId="0" applyFont="1" applyBorder="1"/>
    <xf numFmtId="0" fontId="38" fillId="0" borderId="5" xfId="0" applyFont="1" applyBorder="1"/>
    <xf numFmtId="0" fontId="38" fillId="0" borderId="8" xfId="0" applyFont="1" applyBorder="1"/>
    <xf numFmtId="0" fontId="39" fillId="0" borderId="4" xfId="0" applyFont="1" applyFill="1" applyBorder="1"/>
    <xf numFmtId="166"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center"/>
    </xf>
    <xf numFmtId="0" fontId="5" fillId="10" borderId="7" xfId="0" applyFont="1" applyFill="1" applyBorder="1" applyAlignment="1">
      <alignment horizontal="center"/>
    </xf>
    <xf numFmtId="0" fontId="5" fillId="5" borderId="0" xfId="0" applyFont="1" applyFill="1" applyBorder="1" applyAlignment="1">
      <alignment horizontal="center" vertical="center"/>
    </xf>
    <xf numFmtId="14" fontId="0" fillId="0" borderId="0" xfId="0" applyNumberFormat="1"/>
    <xf numFmtId="3" fontId="0" fillId="0" borderId="7" xfId="0" applyNumberFormat="1" applyBorder="1" applyAlignment="1">
      <alignment horizontal="center"/>
    </xf>
    <xf numFmtId="3" fontId="5" fillId="0" borderId="7" xfId="0" applyNumberFormat="1" applyFont="1" applyBorder="1" applyAlignment="1">
      <alignment horizontal="center"/>
    </xf>
    <xf numFmtId="0" fontId="40" fillId="0" borderId="5" xfId="0" applyFont="1" applyBorder="1" applyAlignment="1">
      <alignment vertical="center"/>
    </xf>
    <xf numFmtId="0" fontId="40" fillId="0" borderId="8" xfId="0" applyFont="1" applyBorder="1" applyAlignment="1">
      <alignment vertical="center"/>
    </xf>
    <xf numFmtId="4" fontId="10" fillId="11" borderId="0" xfId="0" applyNumberFormat="1" applyFont="1" applyFill="1" applyBorder="1" applyAlignment="1">
      <alignment horizontal="right"/>
    </xf>
    <xf numFmtId="175" fontId="5" fillId="0" borderId="7" xfId="0" applyNumberFormat="1" applyFont="1" applyFill="1" applyBorder="1" applyAlignment="1">
      <alignment vertical="center"/>
    </xf>
    <xf numFmtId="2" fontId="5" fillId="0" borderId="0" xfId="16" applyNumberFormat="1" applyFont="1" applyFill="1" applyBorder="1" applyAlignment="1">
      <alignment vertical="center"/>
    </xf>
    <xf numFmtId="174" fontId="5" fillId="0" borderId="0" xfId="0" applyNumberFormat="1" applyFont="1" applyFill="1"/>
    <xf numFmtId="11" fontId="5" fillId="0" borderId="0" xfId="0" applyNumberFormat="1" applyFont="1" applyFill="1"/>
    <xf numFmtId="174" fontId="5" fillId="0" borderId="0" xfId="0" applyNumberFormat="1" applyFont="1"/>
    <xf numFmtId="0" fontId="5" fillId="0" borderId="8" xfId="0" applyFont="1" applyFill="1" applyBorder="1" applyAlignment="1">
      <alignment vertical="center"/>
    </xf>
    <xf numFmtId="166" fontId="5" fillId="9" borderId="5" xfId="0" applyNumberFormat="1" applyFont="1" applyFill="1" applyBorder="1" applyAlignment="1">
      <alignment vertical="center"/>
    </xf>
    <xf numFmtId="0" fontId="5" fillId="5" borderId="32" xfId="0" applyFont="1" applyFill="1" applyBorder="1" applyAlignment="1">
      <alignment vertical="center"/>
    </xf>
    <xf numFmtId="2" fontId="5" fillId="8" borderId="2" xfId="0" applyNumberFormat="1" applyFont="1" applyFill="1" applyBorder="1" applyAlignment="1">
      <alignment horizontal="center" vertical="center"/>
    </xf>
    <xf numFmtId="0" fontId="16" fillId="5" borderId="4" xfId="0" applyFont="1" applyFill="1" applyBorder="1" applyAlignment="1">
      <alignment horizontal="left" vertical="center"/>
    </xf>
    <xf numFmtId="0" fontId="36" fillId="0" borderId="0" xfId="0" applyFont="1" applyFill="1" applyBorder="1"/>
    <xf numFmtId="0" fontId="36" fillId="0" borderId="0" xfId="0" applyFont="1" applyFill="1" applyBorder="1" applyAlignment="1">
      <alignment horizontal="center" vertical="center"/>
    </xf>
    <xf numFmtId="171" fontId="16" fillId="10" borderId="0" xfId="0" applyNumberFormat="1" applyFont="1" applyFill="1" applyBorder="1" applyAlignment="1">
      <alignment vertical="center"/>
    </xf>
    <xf numFmtId="164" fontId="10" fillId="0" borderId="0" xfId="0" applyNumberFormat="1" applyFont="1" applyFill="1" applyBorder="1" applyAlignment="1"/>
    <xf numFmtId="167" fontId="5" fillId="0" borderId="0" xfId="0" applyNumberFormat="1" applyFont="1" applyFill="1" applyBorder="1" applyAlignment="1">
      <alignment vertical="center"/>
    </xf>
    <xf numFmtId="2" fontId="5" fillId="10" borderId="7" xfId="0" applyNumberFormat="1" applyFont="1" applyFill="1" applyBorder="1" applyAlignment="1">
      <alignment vertical="center"/>
    </xf>
    <xf numFmtId="171" fontId="5" fillId="0" borderId="7" xfId="0" applyNumberFormat="1" applyFont="1" applyFill="1" applyBorder="1" applyAlignment="1">
      <alignment vertical="center"/>
    </xf>
    <xf numFmtId="4" fontId="5" fillId="0" borderId="4" xfId="0" applyNumberFormat="1" applyFont="1" applyFill="1" applyBorder="1" applyAlignment="1">
      <alignment vertical="center"/>
    </xf>
    <xf numFmtId="167" fontId="16" fillId="0" borderId="4" xfId="0" applyNumberFormat="1" applyFont="1" applyFill="1" applyBorder="1" applyAlignment="1">
      <alignment vertical="center"/>
    </xf>
    <xf numFmtId="174" fontId="5" fillId="0" borderId="4" xfId="0" applyNumberFormat="1" applyFont="1" applyFill="1" applyBorder="1" applyAlignment="1">
      <alignment vertical="center"/>
    </xf>
    <xf numFmtId="174" fontId="5" fillId="0" borderId="4" xfId="14" applyNumberFormat="1" applyFont="1" applyFill="1" applyBorder="1" applyAlignment="1">
      <alignment vertical="center"/>
    </xf>
    <xf numFmtId="2" fontId="5" fillId="0" borderId="4" xfId="0" applyNumberFormat="1" applyFont="1" applyFill="1" applyBorder="1" applyAlignment="1">
      <alignment vertical="center"/>
    </xf>
    <xf numFmtId="3" fontId="5" fillId="0" borderId="4" xfId="0" applyNumberFormat="1" applyFont="1" applyFill="1" applyBorder="1" applyAlignment="1">
      <alignment vertical="center"/>
    </xf>
    <xf numFmtId="167" fontId="5" fillId="0" borderId="4" xfId="0" applyNumberFormat="1" applyFont="1" applyFill="1" applyBorder="1" applyAlignment="1">
      <alignment vertical="center"/>
    </xf>
    <xf numFmtId="0" fontId="5" fillId="12" borderId="12" xfId="0" applyFont="1" applyFill="1" applyBorder="1" applyAlignment="1">
      <alignment vertical="center"/>
    </xf>
    <xf numFmtId="172" fontId="5" fillId="0" borderId="0" xfId="0" applyNumberFormat="1" applyFont="1" applyBorder="1" applyAlignment="1">
      <alignment horizontal="center" vertical="center"/>
    </xf>
    <xf numFmtId="0" fontId="16" fillId="9" borderId="5" xfId="0" applyFont="1" applyFill="1" applyBorder="1" applyAlignment="1">
      <alignment horizontal="center" vertical="center"/>
    </xf>
    <xf numFmtId="167" fontId="5" fillId="0" borderId="6" xfId="0" applyNumberFormat="1" applyFont="1" applyFill="1" applyBorder="1" applyAlignment="1">
      <alignment vertical="center"/>
    </xf>
    <xf numFmtId="0" fontId="5" fillId="12" borderId="0" xfId="0" applyFont="1" applyFill="1" applyAlignment="1">
      <alignment horizontal="left"/>
    </xf>
    <xf numFmtId="0" fontId="5" fillId="12" borderId="0" xfId="0" applyFont="1" applyFill="1"/>
    <xf numFmtId="0" fontId="5" fillId="0" borderId="20" xfId="0" applyFont="1" applyBorder="1" applyAlignment="1">
      <alignment horizontal="left" vertical="center"/>
    </xf>
    <xf numFmtId="0" fontId="5" fillId="10" borderId="18" xfId="0" applyFont="1" applyFill="1" applyBorder="1" applyAlignment="1">
      <alignment vertical="center"/>
    </xf>
    <xf numFmtId="0" fontId="5" fillId="0" borderId="20" xfId="0" applyFont="1" applyFill="1" applyBorder="1" applyAlignment="1">
      <alignment horizontal="left" vertical="center"/>
    </xf>
    <xf numFmtId="0" fontId="5" fillId="0" borderId="20" xfId="0" applyFont="1" applyFill="1" applyBorder="1" applyAlignment="1">
      <alignment vertical="center"/>
    </xf>
    <xf numFmtId="0" fontId="5" fillId="0" borderId="34" xfId="0" applyFont="1" applyBorder="1" applyAlignment="1">
      <alignment vertical="center"/>
    </xf>
    <xf numFmtId="172" fontId="5" fillId="10" borderId="0" xfId="0" applyNumberFormat="1" applyFont="1" applyFill="1" applyBorder="1"/>
    <xf numFmtId="0" fontId="40" fillId="0" borderId="5" xfId="0" applyFont="1" applyFill="1" applyBorder="1" applyAlignment="1">
      <alignment vertical="center"/>
    </xf>
    <xf numFmtId="0" fontId="40" fillId="0" borderId="18" xfId="0" applyFont="1" applyFill="1" applyBorder="1" applyAlignment="1">
      <alignment vertical="center"/>
    </xf>
    <xf numFmtId="2" fontId="0" fillId="0" borderId="5" xfId="0" applyNumberFormat="1" applyFill="1" applyBorder="1" applyAlignment="1">
      <alignment horizontal="center"/>
    </xf>
    <xf numFmtId="2" fontId="0" fillId="0" borderId="8" xfId="0" applyNumberFormat="1" applyFill="1" applyBorder="1" applyAlignment="1">
      <alignment horizontal="center"/>
    </xf>
    <xf numFmtId="3" fontId="0" fillId="0" borderId="0" xfId="0" applyNumberFormat="1" applyFill="1" applyBorder="1" applyAlignment="1">
      <alignment horizontal="center"/>
    </xf>
    <xf numFmtId="4" fontId="16" fillId="10" borderId="0" xfId="0" applyNumberFormat="1" applyFont="1" applyFill="1" applyBorder="1" applyAlignment="1">
      <alignment horizontal="center"/>
    </xf>
    <xf numFmtId="0" fontId="5" fillId="0" borderId="0" xfId="0" applyNumberFormat="1" applyFont="1" applyFill="1" applyBorder="1" applyAlignment="1">
      <alignment horizontal="center"/>
    </xf>
    <xf numFmtId="43" fontId="5" fillId="10" borderId="0" xfId="14" applyFont="1" applyFill="1" applyBorder="1" applyAlignment="1">
      <alignment vertical="center"/>
    </xf>
    <xf numFmtId="0" fontId="10" fillId="0" borderId="4" xfId="0" applyFont="1" applyFill="1" applyBorder="1"/>
    <xf numFmtId="168" fontId="10" fillId="0" borderId="5" xfId="0" applyNumberFormat="1" applyFont="1" applyFill="1" applyBorder="1"/>
    <xf numFmtId="0" fontId="10" fillId="0" borderId="6" xfId="0" applyFont="1" applyFill="1" applyBorder="1"/>
    <xf numFmtId="166" fontId="10" fillId="0" borderId="7" xfId="0" applyNumberFormat="1" applyFont="1" applyFill="1" applyBorder="1" applyAlignment="1">
      <alignment horizontal="center"/>
    </xf>
    <xf numFmtId="168" fontId="10" fillId="0" borderId="8" xfId="0" applyNumberFormat="1" applyFont="1" applyFill="1" applyBorder="1"/>
    <xf numFmtId="3" fontId="5" fillId="9" borderId="0" xfId="0" applyNumberFormat="1" applyFont="1" applyFill="1" applyBorder="1" applyAlignment="1">
      <alignment horizontal="right"/>
    </xf>
    <xf numFmtId="3" fontId="10" fillId="11" borderId="7" xfId="0" applyNumberFormat="1" applyFont="1" applyFill="1" applyBorder="1" applyAlignment="1">
      <alignment horizontal="center"/>
    </xf>
    <xf numFmtId="3" fontId="5" fillId="4" borderId="0" xfId="0" applyNumberFormat="1" applyFont="1" applyFill="1" applyBorder="1" applyAlignment="1">
      <alignment horizontal="right"/>
    </xf>
    <xf numFmtId="1" fontId="0" fillId="10" borderId="0" xfId="0" applyNumberFormat="1" applyFill="1" applyBorder="1" applyAlignment="1">
      <alignment horizontal="center"/>
    </xf>
    <xf numFmtId="3" fontId="5" fillId="9" borderId="0" xfId="0" applyNumberFormat="1" applyFont="1" applyFill="1" applyBorder="1" applyAlignment="1">
      <alignment horizontal="center" vertical="center"/>
    </xf>
    <xf numFmtId="0" fontId="10" fillId="0" borderId="0" xfId="0" applyFont="1"/>
    <xf numFmtId="0" fontId="10" fillId="0" borderId="0" xfId="0" applyFont="1" applyBorder="1" applyAlignment="1">
      <alignment horizontal="left" vertical="center"/>
    </xf>
    <xf numFmtId="0" fontId="5" fillId="10" borderId="0" xfId="0" applyFont="1" applyFill="1" applyBorder="1" applyAlignment="1">
      <alignment horizontal="left" vertical="center"/>
    </xf>
    <xf numFmtId="0" fontId="5" fillId="9" borderId="0" xfId="0" applyFont="1" applyFill="1" applyBorder="1" applyAlignment="1">
      <alignment horizontal="left" vertical="center"/>
    </xf>
    <xf numFmtId="0" fontId="5" fillId="0" borderId="20" xfId="0" applyFont="1" applyBorder="1"/>
    <xf numFmtId="0" fontId="5" fillId="10" borderId="27" xfId="0" applyFont="1" applyFill="1" applyBorder="1" applyAlignment="1">
      <alignment vertical="center"/>
    </xf>
    <xf numFmtId="172" fontId="5" fillId="10" borderId="21" xfId="0" applyNumberFormat="1" applyFont="1" applyFill="1" applyBorder="1"/>
    <xf numFmtId="0" fontId="5" fillId="9" borderId="10" xfId="0" applyFont="1" applyFill="1" applyBorder="1" applyAlignment="1" applyProtection="1">
      <alignment horizontal="center" vertical="center"/>
    </xf>
    <xf numFmtId="9" fontId="5" fillId="9" borderId="21" xfId="0" applyNumberFormat="1" applyFont="1" applyFill="1" applyBorder="1" applyAlignment="1" applyProtection="1">
      <alignment horizontal="center" vertical="center"/>
    </xf>
    <xf numFmtId="0" fontId="5" fillId="5" borderId="5" xfId="0" applyFont="1" applyFill="1" applyBorder="1" applyAlignment="1">
      <alignment horizontal="center" vertical="center"/>
    </xf>
    <xf numFmtId="0" fontId="5" fillId="5" borderId="0" xfId="0" applyFont="1" applyFill="1" applyBorder="1" applyAlignment="1">
      <alignment horizontal="center" vertical="center"/>
    </xf>
    <xf numFmtId="0" fontId="5" fillId="0" borderId="0" xfId="0" applyFont="1" applyFill="1" applyBorder="1" applyAlignment="1">
      <alignment horizontal="center" vertical="center"/>
    </xf>
    <xf numFmtId="0" fontId="17" fillId="0" borderId="0" xfId="0" applyFont="1" applyBorder="1" applyAlignment="1">
      <alignment horizontal="center"/>
    </xf>
    <xf numFmtId="0" fontId="5" fillId="5" borderId="0" xfId="0" applyFont="1" applyFill="1" applyBorder="1" applyAlignment="1">
      <alignment horizontal="center"/>
    </xf>
    <xf numFmtId="0" fontId="5" fillId="5" borderId="5" xfId="0" applyFont="1" applyFill="1" applyBorder="1" applyAlignment="1">
      <alignment horizontal="center"/>
    </xf>
    <xf numFmtId="0" fontId="5" fillId="5" borderId="25" xfId="0" applyFont="1" applyFill="1" applyBorder="1" applyAlignment="1">
      <alignment horizontal="center"/>
    </xf>
    <xf numFmtId="0" fontId="5" fillId="5" borderId="22" xfId="0" applyFont="1" applyFill="1" applyBorder="1" applyAlignment="1">
      <alignment horizontal="center"/>
    </xf>
    <xf numFmtId="3" fontId="5" fillId="0" borderId="7" xfId="0" applyNumberFormat="1" applyFont="1" applyFill="1" applyBorder="1" applyAlignment="1">
      <alignment horizontal="center"/>
    </xf>
    <xf numFmtId="0" fontId="5" fillId="0" borderId="0" xfId="0" applyFont="1" applyFill="1" applyBorder="1" applyAlignment="1">
      <alignment horizontal="center"/>
    </xf>
    <xf numFmtId="166" fontId="10" fillId="11" borderId="0" xfId="0" applyNumberFormat="1" applyFont="1" applyFill="1" applyBorder="1" applyAlignment="1">
      <alignment horizontal="center"/>
    </xf>
    <xf numFmtId="0" fontId="42" fillId="0" borderId="0" xfId="0" applyFont="1"/>
    <xf numFmtId="0" fontId="5" fillId="0" borderId="5" xfId="0" applyFont="1" applyFill="1" applyBorder="1" applyAlignment="1">
      <alignment horizontal="left"/>
    </xf>
    <xf numFmtId="0" fontId="0" fillId="9" borderId="0" xfId="0" applyNumberFormat="1" applyFill="1" applyBorder="1" applyAlignment="1">
      <alignment horizontal="center"/>
    </xf>
    <xf numFmtId="0" fontId="5" fillId="9" borderId="5" xfId="0" applyFont="1" applyFill="1" applyBorder="1" applyAlignment="1">
      <alignment horizontal="center" vertical="center"/>
    </xf>
    <xf numFmtId="0" fontId="16" fillId="0" borderId="4" xfId="0" applyFont="1" applyFill="1" applyBorder="1"/>
    <xf numFmtId="0" fontId="16" fillId="0" borderId="0" xfId="0" applyFont="1" applyFill="1" applyBorder="1" applyAlignment="1">
      <alignment horizontal="left"/>
    </xf>
    <xf numFmtId="0" fontId="39" fillId="0" borderId="0" xfId="0" applyFont="1"/>
    <xf numFmtId="0" fontId="39" fillId="0" borderId="4" xfId="0" applyFont="1" applyFill="1" applyBorder="1" applyAlignment="1">
      <alignment horizontal="left"/>
    </xf>
    <xf numFmtId="3" fontId="39" fillId="10" borderId="0" xfId="0" applyNumberFormat="1" applyFont="1" applyFill="1" applyBorder="1" applyAlignment="1">
      <alignment horizontal="center"/>
    </xf>
    <xf numFmtId="0" fontId="16" fillId="0" borderId="4" xfId="0" applyFont="1" applyBorder="1" applyAlignment="1">
      <alignment vertical="center"/>
    </xf>
    <xf numFmtId="166" fontId="16" fillId="9" borderId="0" xfId="0" applyNumberFormat="1" applyFont="1" applyFill="1" applyBorder="1" applyAlignment="1">
      <alignment horizontal="center" vertical="center"/>
    </xf>
    <xf numFmtId="0" fontId="43" fillId="0" borderId="5" xfId="0" applyFont="1" applyBorder="1" applyAlignment="1">
      <alignment vertical="center"/>
    </xf>
    <xf numFmtId="0" fontId="16" fillId="3" borderId="0" xfId="0" applyFont="1" applyFill="1"/>
    <xf numFmtId="0" fontId="44" fillId="3" borderId="0" xfId="0" applyFont="1" applyFill="1" applyAlignment="1"/>
    <xf numFmtId="0" fontId="45" fillId="3" borderId="0" xfId="0" applyFont="1" applyFill="1" applyAlignment="1"/>
    <xf numFmtId="0" fontId="16" fillId="3" borderId="0" xfId="0" applyFont="1" applyFill="1" applyAlignment="1">
      <alignment horizontal="left"/>
    </xf>
    <xf numFmtId="0" fontId="16" fillId="0" borderId="0" xfId="0" applyFont="1"/>
    <xf numFmtId="166" fontId="16" fillId="0" borderId="0" xfId="0" applyNumberFormat="1" applyFont="1"/>
    <xf numFmtId="0" fontId="16" fillId="0" borderId="5" xfId="0" applyFont="1" applyBorder="1" applyAlignment="1">
      <alignment vertical="center"/>
    </xf>
    <xf numFmtId="0" fontId="16" fillId="0" borderId="0" xfId="0" applyNumberFormat="1" applyFont="1"/>
    <xf numFmtId="11" fontId="16" fillId="0" borderId="0" xfId="0" applyNumberFormat="1" applyFont="1"/>
    <xf numFmtId="0" fontId="16" fillId="6" borderId="3" xfId="0" applyFont="1" applyFill="1" applyBorder="1"/>
    <xf numFmtId="2" fontId="16" fillId="10" borderId="0" xfId="0" applyNumberFormat="1" applyFont="1" applyFill="1" applyBorder="1" applyAlignment="1">
      <alignment horizontal="center" vertical="center"/>
    </xf>
    <xf numFmtId="0" fontId="16" fillId="6" borderId="4" xfId="0" applyFont="1" applyFill="1" applyBorder="1"/>
    <xf numFmtId="0" fontId="16" fillId="6" borderId="0" xfId="0" applyFont="1" applyFill="1" applyBorder="1" applyAlignment="1">
      <alignment horizontal="left"/>
    </xf>
    <xf numFmtId="0" fontId="16" fillId="6" borderId="5" xfId="0" applyFont="1" applyFill="1" applyBorder="1"/>
    <xf numFmtId="2" fontId="16" fillId="0" borderId="0" xfId="0" applyNumberFormat="1" applyFont="1" applyFill="1" applyBorder="1" applyAlignment="1">
      <alignment horizontal="center" vertical="center"/>
    </xf>
    <xf numFmtId="0" fontId="16" fillId="0" borderId="4" xfId="0" applyFont="1" applyBorder="1"/>
    <xf numFmtId="0" fontId="16" fillId="0" borderId="0" xfId="0" applyFont="1" applyBorder="1"/>
    <xf numFmtId="0" fontId="16" fillId="0" borderId="5" xfId="0" applyFont="1" applyFill="1" applyBorder="1"/>
    <xf numFmtId="1" fontId="16" fillId="9" borderId="0" xfId="0" applyNumberFormat="1" applyFont="1" applyFill="1" applyBorder="1" applyAlignment="1">
      <alignment horizontal="center"/>
    </xf>
    <xf numFmtId="0" fontId="16" fillId="0" borderId="5" xfId="0" applyFont="1" applyBorder="1"/>
    <xf numFmtId="1" fontId="16" fillId="9" borderId="0" xfId="0" applyNumberFormat="1" applyFont="1" applyFill="1" applyBorder="1" applyAlignment="1">
      <alignment horizontal="center" vertical="center"/>
    </xf>
    <xf numFmtId="0" fontId="46" fillId="0" borderId="5" xfId="0" applyFont="1" applyBorder="1"/>
    <xf numFmtId="2" fontId="16" fillId="0" borderId="0" xfId="0" applyNumberFormat="1" applyFont="1"/>
    <xf numFmtId="0" fontId="16" fillId="0" borderId="6" xfId="0" applyFont="1" applyBorder="1"/>
    <xf numFmtId="0" fontId="16" fillId="0" borderId="7" xfId="0" applyFont="1" applyBorder="1"/>
    <xf numFmtId="0" fontId="16" fillId="0" borderId="8" xfId="0" applyFont="1" applyBorder="1"/>
    <xf numFmtId="0" fontId="16" fillId="6" borderId="4" xfId="0" applyFont="1" applyFill="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2" fontId="16" fillId="9" borderId="0" xfId="0" applyNumberFormat="1" applyFont="1" applyFill="1" applyBorder="1" applyAlignment="1">
      <alignment horizontal="center" vertical="center"/>
    </xf>
    <xf numFmtId="0" fontId="13" fillId="0" borderId="4" xfId="0" applyFont="1" applyBorder="1"/>
    <xf numFmtId="0" fontId="12" fillId="0" borderId="4" xfId="0" applyFont="1" applyBorder="1"/>
    <xf numFmtId="165" fontId="16" fillId="0" borderId="0" xfId="0" applyNumberFormat="1" applyFont="1" applyBorder="1" applyAlignment="1">
      <alignment horizontal="center"/>
    </xf>
    <xf numFmtId="0" fontId="16" fillId="0" borderId="5" xfId="0" applyFont="1" applyBorder="1" applyAlignment="1">
      <alignment horizontal="center"/>
    </xf>
    <xf numFmtId="0" fontId="16" fillId="9" borderId="0" xfId="0" applyFont="1" applyFill="1" applyBorder="1" applyAlignment="1">
      <alignment horizontal="center"/>
    </xf>
    <xf numFmtId="0" fontId="16" fillId="0" borderId="5" xfId="0" applyFont="1" applyBorder="1" applyAlignment="1">
      <alignment horizontal="left"/>
    </xf>
    <xf numFmtId="166" fontId="16" fillId="9" borderId="0" xfId="0" applyNumberFormat="1" applyFont="1" applyFill="1" applyBorder="1" applyAlignment="1">
      <alignment horizontal="center"/>
    </xf>
    <xf numFmtId="0" fontId="16" fillId="0" borderId="0" xfId="0" applyFont="1" applyBorder="1" applyAlignment="1">
      <alignment vertical="center"/>
    </xf>
    <xf numFmtId="1" fontId="16" fillId="10" borderId="0" xfId="16" applyNumberFormat="1" applyFont="1" applyFill="1" applyBorder="1" applyAlignment="1">
      <alignment horizontal="center"/>
    </xf>
    <xf numFmtId="164" fontId="16" fillId="10" borderId="0" xfId="0" applyNumberFormat="1" applyFont="1" applyFill="1" applyBorder="1" applyAlignment="1">
      <alignment horizontal="center"/>
    </xf>
    <xf numFmtId="2" fontId="16" fillId="10" borderId="0" xfId="0" applyNumberFormat="1" applyFont="1" applyFill="1" applyBorder="1" applyAlignment="1">
      <alignment horizontal="center"/>
    </xf>
    <xf numFmtId="0" fontId="16" fillId="0" borderId="0" xfId="0" applyFont="1" applyFill="1" applyBorder="1"/>
    <xf numFmtId="0" fontId="46" fillId="0" borderId="0" xfId="0" applyFont="1"/>
    <xf numFmtId="0" fontId="16" fillId="0" borderId="5" xfId="0" applyNumberFormat="1" applyFont="1" applyBorder="1" applyAlignment="1">
      <alignment horizontal="center"/>
    </xf>
    <xf numFmtId="0" fontId="16" fillId="0" borderId="0" xfId="0" applyFont="1" applyFill="1"/>
    <xf numFmtId="0" fontId="16" fillId="0" borderId="5" xfId="0" applyFont="1" applyFill="1" applyBorder="1" applyAlignment="1">
      <alignment horizontal="center"/>
    </xf>
    <xf numFmtId="0" fontId="16" fillId="0" borderId="8" xfId="0" applyFont="1" applyFill="1" applyBorder="1"/>
    <xf numFmtId="9" fontId="16" fillId="0" borderId="8" xfId="0" applyNumberFormat="1" applyFont="1" applyFill="1" applyBorder="1" applyAlignment="1">
      <alignment horizontal="center"/>
    </xf>
    <xf numFmtId="0" fontId="45" fillId="0" borderId="0" xfId="0" applyFont="1" applyFill="1" applyAlignment="1"/>
    <xf numFmtId="0" fontId="16" fillId="10" borderId="0" xfId="0" applyNumberFormat="1" applyFont="1" applyFill="1" applyBorder="1" applyAlignment="1">
      <alignment horizontal="center"/>
    </xf>
    <xf numFmtId="0" fontId="16" fillId="9" borderId="0" xfId="16" applyNumberFormat="1" applyFont="1" applyFill="1" applyBorder="1" applyAlignment="1">
      <alignment horizontal="center"/>
    </xf>
    <xf numFmtId="0" fontId="16" fillId="9" borderId="7" xfId="16" applyNumberFormat="1" applyFont="1" applyFill="1" applyBorder="1" applyAlignment="1">
      <alignment horizontal="center"/>
    </xf>
    <xf numFmtId="0" fontId="16" fillId="0" borderId="8" xfId="0" applyFont="1" applyBorder="1" applyAlignment="1">
      <alignment horizontal="center"/>
    </xf>
    <xf numFmtId="0" fontId="16" fillId="0" borderId="1" xfId="0" applyFont="1" applyBorder="1" applyAlignment="1">
      <alignment vertical="center"/>
    </xf>
    <xf numFmtId="0" fontId="16" fillId="0" borderId="0" xfId="0" applyFont="1" applyAlignment="1">
      <alignment vertical="center"/>
    </xf>
    <xf numFmtId="0" fontId="16" fillId="0" borderId="4" xfId="0" applyFont="1" applyBorder="1" applyAlignment="1">
      <alignment horizontal="left" vertical="center"/>
    </xf>
    <xf numFmtId="4" fontId="16" fillId="10" borderId="0" xfId="0" applyNumberFormat="1" applyFont="1" applyFill="1" applyBorder="1" applyAlignment="1">
      <alignment vertical="center"/>
    </xf>
    <xf numFmtId="4" fontId="16" fillId="0" borderId="0" xfId="0" applyNumberFormat="1" applyFont="1"/>
    <xf numFmtId="0" fontId="16" fillId="15" borderId="5" xfId="0" applyFont="1" applyFill="1" applyBorder="1" applyAlignment="1">
      <alignment vertical="center"/>
    </xf>
    <xf numFmtId="0" fontId="16" fillId="10" borderId="0" xfId="0" applyFont="1" applyFill="1" applyBorder="1" applyAlignment="1">
      <alignment vertical="center"/>
    </xf>
    <xf numFmtId="166" fontId="16" fillId="10" borderId="0" xfId="0" applyNumberFormat="1" applyFont="1" applyFill="1" applyBorder="1" applyAlignment="1">
      <alignment vertical="center"/>
    </xf>
    <xf numFmtId="174" fontId="16" fillId="10" borderId="0" xfId="0" applyNumberFormat="1" applyFont="1" applyFill="1" applyBorder="1" applyAlignment="1">
      <alignment vertical="center"/>
    </xf>
    <xf numFmtId="0" fontId="16" fillId="0" borderId="0" xfId="0" applyFont="1" applyFill="1" applyBorder="1" applyAlignment="1">
      <alignment vertical="center"/>
    </xf>
    <xf numFmtId="3" fontId="16" fillId="10" borderId="0" xfId="0" applyNumberFormat="1" applyFont="1" applyFill="1" applyBorder="1" applyAlignment="1">
      <alignment vertical="center"/>
    </xf>
    <xf numFmtId="0" fontId="16" fillId="0" borderId="5" xfId="0" applyFont="1" applyFill="1" applyBorder="1" applyAlignment="1">
      <alignment vertical="center"/>
    </xf>
    <xf numFmtId="174" fontId="16" fillId="10" borderId="0" xfId="14" applyNumberFormat="1" applyFont="1" applyFill="1" applyBorder="1" applyAlignment="1">
      <alignment vertical="center"/>
    </xf>
    <xf numFmtId="11" fontId="16" fillId="10" borderId="0" xfId="0" applyNumberFormat="1" applyFont="1" applyFill="1" applyBorder="1" applyAlignment="1">
      <alignment vertical="center"/>
    </xf>
    <xf numFmtId="1" fontId="16" fillId="0" borderId="0" xfId="0" applyNumberFormat="1" applyFont="1"/>
    <xf numFmtId="2" fontId="16" fillId="10" borderId="0" xfId="0" applyNumberFormat="1" applyFont="1" applyFill="1" applyBorder="1" applyAlignment="1">
      <alignment vertical="center"/>
    </xf>
    <xf numFmtId="164" fontId="16" fillId="10" borderId="0" xfId="0" applyNumberFormat="1" applyFont="1" applyFill="1" applyBorder="1" applyAlignment="1">
      <alignment vertical="center"/>
    </xf>
    <xf numFmtId="173" fontId="16" fillId="10" borderId="0" xfId="0" applyNumberFormat="1" applyFont="1" applyFill="1" applyBorder="1" applyAlignment="1">
      <alignment vertical="center"/>
    </xf>
    <xf numFmtId="0" fontId="16" fillId="0" borderId="4" xfId="0" applyFont="1" applyFill="1" applyBorder="1" applyAlignment="1">
      <alignment vertical="center"/>
    </xf>
    <xf numFmtId="167" fontId="16" fillId="10" borderId="0" xfId="0" applyNumberFormat="1" applyFont="1" applyFill="1" applyBorder="1" applyAlignment="1">
      <alignment vertical="center"/>
    </xf>
    <xf numFmtId="0" fontId="16" fillId="15" borderId="0" xfId="0" applyFont="1" applyFill="1" applyBorder="1" applyAlignment="1">
      <alignment vertical="center"/>
    </xf>
    <xf numFmtId="0" fontId="16" fillId="0" borderId="6" xfId="0" applyFont="1" applyBorder="1" applyAlignment="1">
      <alignment vertical="center"/>
    </xf>
    <xf numFmtId="171" fontId="16" fillId="10" borderId="7" xfId="0" applyNumberFormat="1" applyFont="1" applyFill="1" applyBorder="1" applyAlignment="1">
      <alignment vertical="center"/>
    </xf>
    <xf numFmtId="0" fontId="16" fillId="0" borderId="7" xfId="0" applyFont="1" applyBorder="1" applyAlignment="1">
      <alignment vertical="center"/>
    </xf>
    <xf numFmtId="167" fontId="16" fillId="0" borderId="0" xfId="0" applyNumberFormat="1" applyFont="1"/>
    <xf numFmtId="0" fontId="16" fillId="0" borderId="8" xfId="0" applyFont="1" applyBorder="1" applyAlignment="1">
      <alignment vertical="center"/>
    </xf>
    <xf numFmtId="0" fontId="16" fillId="0" borderId="0" xfId="0" applyFont="1" applyAlignment="1">
      <alignment horizontal="left"/>
    </xf>
    <xf numFmtId="3" fontId="16" fillId="10" borderId="0" xfId="0" applyNumberFormat="1" applyFont="1" applyFill="1" applyBorder="1" applyAlignment="1">
      <alignment horizontal="center"/>
    </xf>
    <xf numFmtId="168" fontId="16" fillId="0" borderId="5" xfId="0" applyNumberFormat="1" applyFont="1" applyBorder="1"/>
    <xf numFmtId="0" fontId="16" fillId="0" borderId="0" xfId="0" applyFont="1" applyFill="1" applyBorder="1" applyAlignment="1">
      <alignment horizontal="center" vertical="center"/>
    </xf>
    <xf numFmtId="166" fontId="16" fillId="9" borderId="0" xfId="0" applyNumberFormat="1" applyFont="1" applyFill="1" applyBorder="1" applyAlignment="1">
      <alignment horizontal="right"/>
    </xf>
    <xf numFmtId="166" fontId="16" fillId="0" borderId="0" xfId="0" applyNumberFormat="1" applyFont="1" applyBorder="1"/>
    <xf numFmtId="3" fontId="16" fillId="10" borderId="0" xfId="0" applyNumberFormat="1" applyFont="1" applyFill="1" applyBorder="1"/>
    <xf numFmtId="0" fontId="13" fillId="11" borderId="4" xfId="0" applyFont="1" applyFill="1" applyBorder="1"/>
    <xf numFmtId="3" fontId="13" fillId="11" borderId="0" xfId="0" applyNumberFormat="1" applyFont="1" applyFill="1" applyBorder="1"/>
    <xf numFmtId="168" fontId="13" fillId="0" borderId="5" xfId="0" applyNumberFormat="1" applyFont="1" applyBorder="1"/>
    <xf numFmtId="3" fontId="16" fillId="0" borderId="0" xfId="0" applyNumberFormat="1" applyFont="1"/>
    <xf numFmtId="0" fontId="13" fillId="11" borderId="6" xfId="0" applyFont="1" applyFill="1" applyBorder="1"/>
    <xf numFmtId="3" fontId="13" fillId="11" borderId="7" xfId="0" applyNumberFormat="1" applyFont="1" applyFill="1" applyBorder="1"/>
    <xf numFmtId="168" fontId="13" fillId="0" borderId="8" xfId="0" applyNumberFormat="1" applyFont="1" applyBorder="1"/>
    <xf numFmtId="0" fontId="16" fillId="0" borderId="4" xfId="0" applyFont="1" applyBorder="1" applyAlignment="1">
      <alignment horizontal="left"/>
    </xf>
    <xf numFmtId="166" fontId="16" fillId="0" borderId="0" xfId="0" applyNumberFormat="1" applyFont="1" applyFill="1" applyBorder="1" applyAlignment="1">
      <alignment horizontal="center"/>
    </xf>
    <xf numFmtId="166" fontId="16" fillId="0" borderId="4" xfId="0" applyNumberFormat="1" applyFont="1" applyBorder="1" applyAlignment="1">
      <alignment horizontal="left"/>
    </xf>
    <xf numFmtId="166" fontId="16" fillId="0" borderId="5" xfId="0" applyNumberFormat="1" applyFont="1" applyBorder="1" applyAlignment="1">
      <alignment horizontal="left"/>
    </xf>
    <xf numFmtId="166" fontId="46" fillId="0" borderId="4" xfId="0" applyNumberFormat="1" applyFont="1" applyBorder="1" applyAlignment="1">
      <alignment horizontal="left"/>
    </xf>
    <xf numFmtId="3" fontId="46" fillId="10" borderId="0" xfId="0" applyNumberFormat="1" applyFont="1" applyFill="1" applyBorder="1" applyAlignment="1">
      <alignment horizontal="right"/>
    </xf>
    <xf numFmtId="3" fontId="46" fillId="0" borderId="5" xfId="0" quotePrefix="1" applyNumberFormat="1" applyFont="1" applyBorder="1" applyAlignment="1">
      <alignment horizontal="left"/>
    </xf>
    <xf numFmtId="166" fontId="13" fillId="0" borderId="4" xfId="0" applyNumberFormat="1" applyFont="1" applyBorder="1" applyAlignment="1">
      <alignment horizontal="left"/>
    </xf>
    <xf numFmtId="3" fontId="13" fillId="10" borderId="0" xfId="0" applyNumberFormat="1" applyFont="1" applyFill="1" applyBorder="1" applyAlignment="1">
      <alignment horizontal="right"/>
    </xf>
    <xf numFmtId="3" fontId="16" fillId="10" borderId="0" xfId="0" applyNumberFormat="1" applyFont="1" applyFill="1" applyBorder="1" applyAlignment="1">
      <alignment horizontal="right"/>
    </xf>
    <xf numFmtId="166" fontId="16" fillId="0" borderId="0" xfId="0" applyNumberFormat="1" applyFont="1" applyBorder="1" applyAlignment="1">
      <alignment horizontal="right"/>
    </xf>
    <xf numFmtId="3" fontId="16" fillId="0" borderId="5" xfId="0" quotePrefix="1" applyNumberFormat="1" applyFont="1" applyBorder="1" applyAlignment="1">
      <alignment horizontal="left"/>
    </xf>
    <xf numFmtId="166" fontId="13" fillId="11" borderId="4" xfId="0" applyNumberFormat="1" applyFont="1" applyFill="1" applyBorder="1" applyAlignment="1">
      <alignment horizontal="left"/>
    </xf>
    <xf numFmtId="3" fontId="13" fillId="11" borderId="0" xfId="0" applyNumberFormat="1" applyFont="1" applyFill="1" applyBorder="1" applyAlignment="1">
      <alignment horizontal="right"/>
    </xf>
    <xf numFmtId="166" fontId="13" fillId="11" borderId="5" xfId="0" applyNumberFormat="1" applyFont="1" applyFill="1" applyBorder="1" applyAlignment="1">
      <alignment horizontal="left"/>
    </xf>
    <xf numFmtId="0" fontId="16" fillId="6" borderId="14" xfId="0" applyFont="1" applyFill="1" applyBorder="1"/>
    <xf numFmtId="167" fontId="13" fillId="0" borderId="4" xfId="0" applyNumberFormat="1" applyFont="1" applyFill="1" applyBorder="1" applyAlignment="1">
      <alignment horizontal="left"/>
    </xf>
    <xf numFmtId="166" fontId="16" fillId="0" borderId="0" xfId="0" applyNumberFormat="1" applyFont="1" applyBorder="1" applyAlignment="1">
      <alignment horizontal="left"/>
    </xf>
    <xf numFmtId="0" fontId="16" fillId="0" borderId="6" xfId="0" applyFont="1" applyFill="1" applyBorder="1"/>
    <xf numFmtId="0" fontId="16" fillId="0" borderId="7" xfId="0" applyFont="1" applyFill="1" applyBorder="1" applyAlignment="1">
      <alignment horizontal="center"/>
    </xf>
    <xf numFmtId="166" fontId="16" fillId="0" borderId="0" xfId="0" applyNumberFormat="1" applyFont="1" applyBorder="1" applyAlignment="1">
      <alignment horizontal="center"/>
    </xf>
    <xf numFmtId="3" fontId="46" fillId="0" borderId="0" xfId="0" applyNumberFormat="1" applyFont="1" applyFill="1" applyBorder="1" applyAlignment="1">
      <alignment horizontal="right"/>
    </xf>
    <xf numFmtId="166" fontId="46" fillId="0" borderId="5" xfId="0" applyNumberFormat="1" applyFont="1" applyBorder="1" applyAlignment="1">
      <alignment horizontal="left"/>
    </xf>
    <xf numFmtId="4" fontId="46" fillId="0" borderId="0" xfId="0" applyNumberFormat="1" applyFont="1" applyFill="1" applyBorder="1" applyAlignment="1">
      <alignment horizontal="right"/>
    </xf>
    <xf numFmtId="3" fontId="46" fillId="0" borderId="0" xfId="0" applyNumberFormat="1" applyFont="1" applyBorder="1" applyAlignment="1">
      <alignment horizontal="right"/>
    </xf>
    <xf numFmtId="166" fontId="46" fillId="0" borderId="4" xfId="0" applyNumberFormat="1" applyFont="1" applyFill="1" applyBorder="1" applyAlignment="1">
      <alignment horizontal="left"/>
    </xf>
    <xf numFmtId="167" fontId="46" fillId="0" borderId="0" xfId="0" applyNumberFormat="1" applyFont="1" applyFill="1" applyBorder="1" applyAlignment="1">
      <alignment horizontal="right"/>
    </xf>
    <xf numFmtId="166" fontId="46" fillId="0" borderId="5" xfId="0" applyNumberFormat="1" applyFont="1" applyFill="1" applyBorder="1" applyAlignment="1">
      <alignment horizontal="left"/>
    </xf>
    <xf numFmtId="166" fontId="13" fillId="0" borderId="4" xfId="0" applyNumberFormat="1" applyFont="1" applyFill="1" applyBorder="1" applyAlignment="1">
      <alignment horizontal="left"/>
    </xf>
    <xf numFmtId="166" fontId="16" fillId="0" borderId="4" xfId="0" applyNumberFormat="1" applyFont="1" applyFill="1" applyBorder="1" applyAlignment="1">
      <alignment horizontal="left"/>
    </xf>
    <xf numFmtId="4" fontId="16" fillId="0" borderId="0" xfId="0" applyNumberFormat="1" applyFont="1" applyFill="1" applyBorder="1" applyAlignment="1">
      <alignment horizontal="right"/>
    </xf>
    <xf numFmtId="167" fontId="16" fillId="0" borderId="0" xfId="0" applyNumberFormat="1" applyFont="1" applyFill="1" applyBorder="1" applyAlignment="1">
      <alignment horizontal="right"/>
    </xf>
    <xf numFmtId="0" fontId="12" fillId="0" borderId="0" xfId="0" applyFont="1" applyFill="1" applyBorder="1" applyAlignment="1">
      <alignment horizontal="center" vertical="center" wrapText="1"/>
    </xf>
    <xf numFmtId="3" fontId="16" fillId="0" borderId="0" xfId="0" applyNumberFormat="1" applyFont="1" applyBorder="1" applyAlignment="1">
      <alignment horizontal="right"/>
    </xf>
    <xf numFmtId="0" fontId="16" fillId="0" borderId="0" xfId="0" applyFont="1" applyBorder="1" applyAlignment="1">
      <alignment horizontal="right"/>
    </xf>
    <xf numFmtId="3" fontId="13" fillId="0" borderId="0" xfId="0" applyNumberFormat="1" applyFont="1" applyFill="1" applyBorder="1" applyAlignment="1">
      <alignment horizontal="right"/>
    </xf>
    <xf numFmtId="166" fontId="13" fillId="0" borderId="5" xfId="0" applyNumberFormat="1" applyFont="1" applyFill="1" applyBorder="1" applyAlignment="1">
      <alignment horizontal="left"/>
    </xf>
    <xf numFmtId="0" fontId="13" fillId="11" borderId="5" xfId="0" applyFont="1" applyFill="1" applyBorder="1" applyAlignment="1">
      <alignment vertical="center"/>
    </xf>
    <xf numFmtId="0" fontId="13" fillId="0" borderId="0" xfId="0" applyFont="1" applyFill="1" applyBorder="1" applyAlignment="1">
      <alignment horizontal="center"/>
    </xf>
    <xf numFmtId="0" fontId="16" fillId="0" borderId="0" xfId="0" applyFont="1" applyFill="1" applyBorder="1" applyAlignment="1">
      <alignment horizontal="center"/>
    </xf>
    <xf numFmtId="4" fontId="13" fillId="11" borderId="0" xfId="0" applyNumberFormat="1" applyFont="1" applyFill="1" applyBorder="1" applyAlignment="1">
      <alignment horizontal="right"/>
    </xf>
    <xf numFmtId="0" fontId="16" fillId="0" borderId="0" xfId="0" applyFont="1" applyBorder="1" applyAlignment="1">
      <alignment horizontal="center"/>
    </xf>
    <xf numFmtId="165" fontId="13" fillId="11" borderId="0" xfId="0" applyNumberFormat="1" applyFont="1" applyFill="1" applyBorder="1" applyAlignment="1">
      <alignment horizontal="right"/>
    </xf>
    <xf numFmtId="0" fontId="13" fillId="11" borderId="5" xfId="0" applyFont="1" applyFill="1" applyBorder="1"/>
    <xf numFmtId="165" fontId="13" fillId="11" borderId="7" xfId="0" applyNumberFormat="1" applyFont="1" applyFill="1" applyBorder="1" applyAlignment="1">
      <alignment horizontal="right"/>
    </xf>
    <xf numFmtId="0" fontId="13" fillId="11" borderId="8" xfId="0" applyFont="1" applyFill="1" applyBorder="1"/>
    <xf numFmtId="165" fontId="16" fillId="0" borderId="0" xfId="0" applyNumberFormat="1" applyFont="1" applyBorder="1"/>
    <xf numFmtId="166" fontId="46" fillId="0" borderId="0" xfId="0" applyNumberFormat="1" applyFont="1" applyFill="1" applyBorder="1" applyAlignment="1">
      <alignment horizontal="left"/>
    </xf>
    <xf numFmtId="4" fontId="16" fillId="0" borderId="5" xfId="0" quotePrefix="1" applyNumberFormat="1" applyFont="1" applyBorder="1" applyAlignment="1">
      <alignment horizontal="left"/>
    </xf>
    <xf numFmtId="166" fontId="13" fillId="11" borderId="0" xfId="0" applyNumberFormat="1" applyFont="1" applyFill="1" applyBorder="1" applyAlignment="1">
      <alignment horizontal="right"/>
    </xf>
    <xf numFmtId="3" fontId="16" fillId="0" borderId="0" xfId="0" applyNumberFormat="1" applyFont="1" applyBorder="1" applyAlignment="1">
      <alignment horizontal="center"/>
    </xf>
    <xf numFmtId="0" fontId="16" fillId="0" borderId="1" xfId="0" applyFont="1" applyBorder="1"/>
    <xf numFmtId="0" fontId="16" fillId="0" borderId="2" xfId="0" applyFont="1" applyBorder="1"/>
    <xf numFmtId="0" fontId="16" fillId="0" borderId="3" xfId="0" applyFont="1" applyBorder="1"/>
    <xf numFmtId="2" fontId="16" fillId="0" borderId="5" xfId="0" applyNumberFormat="1" applyFont="1" applyBorder="1"/>
    <xf numFmtId="3" fontId="46" fillId="11" borderId="5" xfId="0" quotePrefix="1" applyNumberFormat="1" applyFont="1" applyFill="1" applyBorder="1" applyAlignment="1">
      <alignment horizontal="left"/>
    </xf>
    <xf numFmtId="166" fontId="13" fillId="0" borderId="0" xfId="0" applyNumberFormat="1" applyFont="1" applyBorder="1" applyAlignment="1">
      <alignment horizontal="left"/>
    </xf>
    <xf numFmtId="0" fontId="39" fillId="0" borderId="5" xfId="0" applyFont="1" applyBorder="1"/>
    <xf numFmtId="0" fontId="13" fillId="0" borderId="1" xfId="0" applyFont="1" applyBorder="1" applyAlignment="1">
      <alignment vertical="center"/>
    </xf>
    <xf numFmtId="2" fontId="16" fillId="0" borderId="2" xfId="0" applyNumberFormat="1" applyFont="1" applyFill="1" applyBorder="1" applyAlignment="1">
      <alignment horizontal="center" vertical="center"/>
    </xf>
    <xf numFmtId="0" fontId="16" fillId="0" borderId="3" xfId="0" applyFont="1" applyBorder="1" applyAlignment="1">
      <alignment vertical="center"/>
    </xf>
    <xf numFmtId="0" fontId="39" fillId="0" borderId="8" xfId="0" applyFont="1" applyBorder="1"/>
    <xf numFmtId="2" fontId="16" fillId="0" borderId="7" xfId="0" applyNumberFormat="1" applyFont="1" applyFill="1" applyBorder="1" applyAlignment="1">
      <alignment horizontal="center" vertical="center"/>
    </xf>
    <xf numFmtId="0" fontId="39" fillId="0" borderId="12" xfId="0" applyFont="1" applyFill="1" applyBorder="1" applyAlignment="1">
      <alignment horizontal="center" vertical="center"/>
    </xf>
    <xf numFmtId="0" fontId="39" fillId="0" borderId="14" xfId="0" applyFont="1" applyFill="1" applyBorder="1" applyAlignment="1">
      <alignment horizontal="center" vertical="center"/>
    </xf>
    <xf numFmtId="0" fontId="50" fillId="0" borderId="0" xfId="0" applyFont="1"/>
    <xf numFmtId="0" fontId="39" fillId="0" borderId="12" xfId="0" applyFont="1" applyFill="1" applyBorder="1" applyAlignment="1">
      <alignment horizontal="center" vertical="center" wrapText="1"/>
    </xf>
    <xf numFmtId="11" fontId="39" fillId="0" borderId="0" xfId="0" applyNumberFormat="1" applyFont="1"/>
    <xf numFmtId="0" fontId="39" fillId="0" borderId="6" xfId="0" applyFont="1" applyBorder="1"/>
    <xf numFmtId="3" fontId="39" fillId="0" borderId="7" xfId="0" applyNumberFormat="1" applyFont="1" applyBorder="1" applyAlignment="1">
      <alignment horizontal="center"/>
    </xf>
    <xf numFmtId="166" fontId="39" fillId="0" borderId="0" xfId="0" applyNumberFormat="1" applyFont="1"/>
    <xf numFmtId="0" fontId="39" fillId="0" borderId="1"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xf>
    <xf numFmtId="0" fontId="39" fillId="0" borderId="5" xfId="0" applyFont="1" applyFill="1" applyBorder="1" applyAlignment="1">
      <alignment horizontal="center"/>
    </xf>
    <xf numFmtId="3" fontId="39" fillId="0" borderId="4" xfId="0" applyNumberFormat="1" applyFont="1" applyFill="1" applyBorder="1" applyAlignment="1">
      <alignment horizontal="center"/>
    </xf>
    <xf numFmtId="11" fontId="39" fillId="10" borderId="0" xfId="0" applyNumberFormat="1" applyFont="1" applyFill="1" applyBorder="1" applyAlignment="1">
      <alignment horizontal="center"/>
    </xf>
    <xf numFmtId="2" fontId="39" fillId="10" borderId="0" xfId="0" applyNumberFormat="1" applyFont="1" applyFill="1" applyBorder="1" applyAlignment="1">
      <alignment horizontal="center"/>
    </xf>
    <xf numFmtId="0" fontId="39" fillId="0" borderId="5" xfId="0" applyFont="1" applyFill="1" applyBorder="1"/>
    <xf numFmtId="0" fontId="39" fillId="0" borderId="6" xfId="0" applyFont="1" applyFill="1" applyBorder="1"/>
    <xf numFmtId="3" fontId="39" fillId="10" borderId="7" xfId="0" applyNumberFormat="1" applyFont="1" applyFill="1" applyBorder="1" applyAlignment="1">
      <alignment horizontal="center"/>
    </xf>
    <xf numFmtId="0" fontId="39" fillId="0" borderId="8" xfId="0" applyFont="1" applyFill="1" applyBorder="1"/>
    <xf numFmtId="0" fontId="39" fillId="0" borderId="0" xfId="0" applyFont="1" applyFill="1" applyBorder="1"/>
    <xf numFmtId="0" fontId="39" fillId="0" borderId="0" xfId="0" applyFont="1" applyFill="1" applyBorder="1" applyAlignment="1">
      <alignment horizontal="right" vertical="center"/>
    </xf>
    <xf numFmtId="2" fontId="39" fillId="0" borderId="0" xfId="0" applyNumberFormat="1" applyFont="1" applyFill="1" applyBorder="1" applyAlignment="1">
      <alignment horizontal="center" vertical="center"/>
    </xf>
    <xf numFmtId="0" fontId="39" fillId="0" borderId="0" xfId="0" applyFont="1" applyFill="1" applyBorder="1" applyAlignment="1">
      <alignment horizontal="left" vertical="center"/>
    </xf>
    <xf numFmtId="3" fontId="39" fillId="0" borderId="6" xfId="0" applyNumberFormat="1" applyFont="1" applyFill="1" applyBorder="1" applyAlignment="1">
      <alignment horizontal="center"/>
    </xf>
    <xf numFmtId="0" fontId="39" fillId="0" borderId="8" xfId="0" applyFont="1" applyFill="1" applyBorder="1" applyAlignment="1">
      <alignment horizontal="center"/>
    </xf>
    <xf numFmtId="2" fontId="39" fillId="0" borderId="0" xfId="0" applyNumberFormat="1" applyFont="1" applyFill="1" applyBorder="1" applyAlignment="1">
      <alignment horizontal="center" vertical="center" wrapText="1"/>
    </xf>
    <xf numFmtId="0" fontId="39" fillId="0" borderId="1" xfId="0" applyFont="1" applyBorder="1" applyAlignment="1">
      <alignment horizontal="center"/>
    </xf>
    <xf numFmtId="16" fontId="39" fillId="0" borderId="3" xfId="0" quotePrefix="1" applyNumberFormat="1" applyFont="1" applyBorder="1" applyAlignment="1">
      <alignment horizontal="center"/>
    </xf>
    <xf numFmtId="0" fontId="39" fillId="0" borderId="1" xfId="0" applyFont="1" applyFill="1" applyBorder="1"/>
    <xf numFmtId="3" fontId="39" fillId="10" borderId="2" xfId="0" applyNumberFormat="1" applyFont="1" applyFill="1" applyBorder="1" applyAlignment="1">
      <alignment horizontal="center"/>
    </xf>
    <xf numFmtId="0" fontId="39" fillId="0" borderId="3" xfId="0" applyFont="1" applyFill="1" applyBorder="1"/>
    <xf numFmtId="0" fontId="39" fillId="0" borderId="6" xfId="0" applyFont="1" applyBorder="1" applyAlignment="1">
      <alignment horizontal="center"/>
    </xf>
    <xf numFmtId="0" fontId="39" fillId="0" borderId="8" xfId="0" applyFont="1" applyBorder="1" applyAlignment="1">
      <alignment horizontal="center"/>
    </xf>
    <xf numFmtId="0" fontId="39" fillId="9" borderId="0" xfId="0" applyFont="1" applyFill="1" applyBorder="1" applyAlignment="1">
      <alignment horizontal="center"/>
    </xf>
    <xf numFmtId="0" fontId="39" fillId="0" borderId="4"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5" xfId="0" applyFont="1" applyFill="1" applyBorder="1" applyAlignment="1">
      <alignment horizontal="center" vertical="center"/>
    </xf>
    <xf numFmtId="0" fontId="53" fillId="0" borderId="6" xfId="0" applyFont="1" applyBorder="1"/>
    <xf numFmtId="3" fontId="53" fillId="10" borderId="7" xfId="0" applyNumberFormat="1" applyFont="1" applyFill="1" applyBorder="1" applyAlignment="1">
      <alignment horizontal="center"/>
    </xf>
    <xf numFmtId="0" fontId="53" fillId="0" borderId="8" xfId="0" applyFont="1" applyFill="1" applyBorder="1"/>
    <xf numFmtId="3" fontId="39" fillId="0" borderId="0" xfId="0" applyNumberFormat="1" applyFont="1" applyFill="1" applyBorder="1" applyAlignment="1">
      <alignment horizontal="center" vertical="center"/>
    </xf>
    <xf numFmtId="3" fontId="39" fillId="0" borderId="5" xfId="0" applyNumberFormat="1" applyFont="1" applyFill="1" applyBorder="1" applyAlignment="1">
      <alignment horizontal="center" vertical="center"/>
    </xf>
    <xf numFmtId="0" fontId="39" fillId="0" borderId="7" xfId="0" applyFont="1" applyFill="1" applyBorder="1" applyAlignment="1">
      <alignment horizontal="center" vertical="center"/>
    </xf>
    <xf numFmtId="3" fontId="39" fillId="0" borderId="7" xfId="0" applyNumberFormat="1" applyFont="1" applyFill="1" applyBorder="1" applyAlignment="1">
      <alignment horizontal="center" vertical="center"/>
    </xf>
    <xf numFmtId="3" fontId="39" fillId="0" borderId="8" xfId="0" applyNumberFormat="1" applyFont="1" applyFill="1" applyBorder="1" applyAlignment="1">
      <alignment horizontal="center" vertical="center"/>
    </xf>
    <xf numFmtId="0" fontId="39" fillId="0" borderId="0" xfId="0" applyFont="1" applyFill="1" applyBorder="1" applyAlignment="1">
      <alignment horizontal="center"/>
    </xf>
    <xf numFmtId="164" fontId="39" fillId="0" borderId="5" xfId="0" applyNumberFormat="1" applyFont="1" applyFill="1" applyBorder="1" applyAlignment="1">
      <alignment horizontal="center"/>
    </xf>
    <xf numFmtId="0" fontId="39" fillId="0" borderId="0" xfId="0" applyFont="1" applyFill="1" applyBorder="1" applyAlignment="1">
      <alignment vertical="center"/>
    </xf>
    <xf numFmtId="0" fontId="39" fillId="0" borderId="6" xfId="0" applyFont="1" applyFill="1" applyBorder="1" applyAlignment="1">
      <alignment horizontal="left"/>
    </xf>
    <xf numFmtId="0" fontId="39" fillId="0" borderId="6" xfId="0" applyFont="1" applyFill="1" applyBorder="1" applyAlignment="1">
      <alignment horizontal="center" vertical="center"/>
    </xf>
    <xf numFmtId="164" fontId="39" fillId="0" borderId="8" xfId="0" applyNumberFormat="1" applyFont="1" applyFill="1" applyBorder="1" applyAlignment="1">
      <alignment horizontal="center"/>
    </xf>
    <xf numFmtId="0" fontId="39" fillId="0" borderId="4" xfId="0" applyFont="1" applyBorder="1"/>
    <xf numFmtId="0" fontId="39" fillId="0" borderId="46" xfId="0" applyFont="1" applyBorder="1" applyAlignment="1">
      <alignment horizontal="center"/>
    </xf>
    <xf numFmtId="0" fontId="39" fillId="0" borderId="47" xfId="0" quotePrefix="1" applyFont="1" applyBorder="1" applyAlignment="1">
      <alignment horizontal="center"/>
    </xf>
    <xf numFmtId="0" fontId="39" fillId="0" borderId="48" xfId="0" applyFont="1" applyBorder="1" applyAlignment="1">
      <alignment horizontal="center"/>
    </xf>
    <xf numFmtId="0" fontId="39" fillId="0" borderId="49" xfId="0" quotePrefix="1" applyFont="1" applyBorder="1" applyAlignment="1">
      <alignment horizontal="center"/>
    </xf>
    <xf numFmtId="3" fontId="39" fillId="0" borderId="0" xfId="0" applyNumberFormat="1" applyFont="1"/>
    <xf numFmtId="3" fontId="50" fillId="0" borderId="0" xfId="0" applyNumberFormat="1" applyFont="1"/>
    <xf numFmtId="2" fontId="39"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2" fontId="39" fillId="9" borderId="0" xfId="0" applyNumberFormat="1" applyFont="1" applyFill="1" applyBorder="1" applyAlignment="1">
      <alignment horizontal="center"/>
    </xf>
    <xf numFmtId="166" fontId="16" fillId="10" borderId="0" xfId="0" applyNumberFormat="1" applyFont="1" applyFill="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39" fillId="0" borderId="5" xfId="0" applyFont="1" applyBorder="1" applyAlignment="1">
      <alignment horizontal="center"/>
    </xf>
    <xf numFmtId="0" fontId="39" fillId="0" borderId="5" xfId="0" quotePrefix="1" applyFont="1" applyBorder="1" applyAlignment="1">
      <alignment horizontal="center"/>
    </xf>
    <xf numFmtId="0" fontId="50" fillId="0" borderId="0" xfId="0" applyFont="1" applyFill="1" applyBorder="1"/>
    <xf numFmtId="3" fontId="13" fillId="0" borderId="0" xfId="0" applyNumberFormat="1" applyFont="1" applyFill="1" applyBorder="1" applyAlignment="1">
      <alignment horizontal="center"/>
    </xf>
    <xf numFmtId="0" fontId="39" fillId="0" borderId="0" xfId="0" applyFont="1" applyBorder="1" applyAlignment="1">
      <alignment horizontal="center"/>
    </xf>
    <xf numFmtId="3" fontId="13" fillId="10" borderId="0" xfId="0" applyNumberFormat="1" applyFont="1" applyFill="1" applyBorder="1" applyAlignment="1">
      <alignment horizontal="center"/>
    </xf>
    <xf numFmtId="0" fontId="39" fillId="0" borderId="4" xfId="0" applyFont="1" applyFill="1" applyBorder="1" applyAlignment="1">
      <alignment horizontal="right"/>
    </xf>
    <xf numFmtId="166" fontId="13" fillId="10" borderId="0" xfId="0" applyNumberFormat="1" applyFont="1" applyFill="1" applyBorder="1" applyAlignment="1">
      <alignment horizontal="center"/>
    </xf>
    <xf numFmtId="0" fontId="39" fillId="0" borderId="6" xfId="0" applyFont="1" applyFill="1" applyBorder="1" applyAlignment="1">
      <alignment horizontal="right"/>
    </xf>
    <xf numFmtId="0" fontId="39" fillId="0" borderId="0" xfId="0" applyFont="1" applyFill="1" applyBorder="1" applyAlignment="1">
      <alignment horizontal="right"/>
    </xf>
    <xf numFmtId="0" fontId="39" fillId="0" borderId="0" xfId="0" applyFont="1" applyBorder="1"/>
    <xf numFmtId="166" fontId="16" fillId="0" borderId="5" xfId="0" applyNumberFormat="1" applyFont="1" applyFill="1" applyBorder="1" applyAlignment="1">
      <alignment horizontal="left"/>
    </xf>
    <xf numFmtId="9" fontId="39" fillId="9" borderId="0" xfId="0" applyNumberFormat="1" applyFont="1" applyFill="1" applyBorder="1" applyAlignment="1">
      <alignment horizontal="center"/>
    </xf>
    <xf numFmtId="167" fontId="16" fillId="10" borderId="0" xfId="0" applyNumberFormat="1" applyFont="1" applyFill="1" applyBorder="1" applyAlignment="1">
      <alignment horizontal="center"/>
    </xf>
    <xf numFmtId="0" fontId="39" fillId="0" borderId="4" xfId="0" applyFont="1" applyBorder="1" applyAlignment="1">
      <alignment horizontal="right"/>
    </xf>
    <xf numFmtId="0" fontId="16" fillId="0" borderId="0" xfId="0" applyNumberFormat="1" applyFont="1" applyFill="1" applyBorder="1" applyAlignment="1">
      <alignment horizontal="center"/>
    </xf>
    <xf numFmtId="166" fontId="39" fillId="0" borderId="5" xfId="0" applyNumberFormat="1" applyFont="1" applyBorder="1"/>
    <xf numFmtId="0" fontId="16" fillId="9" borderId="0" xfId="0" applyNumberFormat="1" applyFont="1" applyFill="1" applyBorder="1" applyAlignment="1">
      <alignment horizontal="center"/>
    </xf>
    <xf numFmtId="0" fontId="39" fillId="0" borderId="6" xfId="0" applyFont="1" applyBorder="1" applyAlignment="1">
      <alignment horizontal="right"/>
    </xf>
    <xf numFmtId="43" fontId="39" fillId="0" borderId="0" xfId="14" applyFont="1"/>
    <xf numFmtId="0" fontId="13" fillId="0" borderId="4" xfId="0" applyFont="1" applyFill="1" applyBorder="1"/>
    <xf numFmtId="168" fontId="13" fillId="0" borderId="5" xfId="0" applyNumberFormat="1" applyFont="1" applyFill="1" applyBorder="1"/>
    <xf numFmtId="0" fontId="13" fillId="0" borderId="6" xfId="0" applyFont="1" applyFill="1" applyBorder="1"/>
    <xf numFmtId="166" fontId="13" fillId="0" borderId="7" xfId="0" applyNumberFormat="1" applyFont="1" applyFill="1" applyBorder="1" applyAlignment="1">
      <alignment horizontal="center"/>
    </xf>
    <xf numFmtId="168" fontId="13" fillId="0" borderId="8" xfId="0" applyNumberFormat="1" applyFont="1" applyFill="1" applyBorder="1"/>
    <xf numFmtId="9" fontId="39" fillId="0" borderId="0" xfId="0" applyNumberFormat="1" applyFont="1"/>
    <xf numFmtId="4" fontId="39" fillId="0" borderId="0" xfId="0" applyNumberFormat="1" applyFont="1"/>
    <xf numFmtId="2" fontId="39" fillId="0" borderId="0" xfId="0" applyNumberFormat="1" applyFont="1"/>
    <xf numFmtId="0" fontId="39" fillId="6" borderId="7" xfId="0" applyFont="1" applyFill="1" applyBorder="1" applyAlignment="1">
      <alignment horizontal="center"/>
    </xf>
    <xf numFmtId="0" fontId="53" fillId="6" borderId="7" xfId="0" applyFont="1" applyFill="1" applyBorder="1" applyAlignment="1">
      <alignment horizontal="center"/>
    </xf>
    <xf numFmtId="0" fontId="53" fillId="6" borderId="8" xfId="0" applyFont="1" applyFill="1" applyBorder="1" applyAlignment="1">
      <alignment horizontal="center"/>
    </xf>
    <xf numFmtId="0" fontId="50" fillId="0" borderId="1" xfId="0" applyFont="1" applyFill="1" applyBorder="1"/>
    <xf numFmtId="0" fontId="39" fillId="0" borderId="2" xfId="0" applyFont="1" applyBorder="1" applyAlignment="1">
      <alignment horizontal="center"/>
    </xf>
    <xf numFmtId="2" fontId="39" fillId="0" borderId="2" xfId="0" applyNumberFormat="1" applyFont="1" applyBorder="1" applyAlignment="1">
      <alignment horizontal="center"/>
    </xf>
    <xf numFmtId="0" fontId="39" fillId="0" borderId="2" xfId="0" applyFont="1" applyBorder="1"/>
    <xf numFmtId="2" fontId="39" fillId="0" borderId="3" xfId="0" applyNumberFormat="1" applyFont="1" applyBorder="1" applyAlignment="1">
      <alignment horizontal="center"/>
    </xf>
    <xf numFmtId="0" fontId="50" fillId="0" borderId="4" xfId="0" applyFont="1" applyFill="1" applyBorder="1"/>
    <xf numFmtId="2" fontId="39" fillId="0" borderId="0" xfId="0" applyNumberFormat="1" applyFont="1" applyBorder="1" applyAlignment="1">
      <alignment horizontal="center"/>
    </xf>
    <xf numFmtId="2" fontId="39" fillId="0" borderId="5" xfId="0" applyNumberFormat="1" applyFont="1" applyBorder="1" applyAlignment="1">
      <alignment horizontal="center"/>
    </xf>
    <xf numFmtId="0" fontId="39" fillId="0" borderId="0" xfId="0" applyFont="1" applyBorder="1" applyAlignment="1">
      <alignment horizontal="center" vertical="center"/>
    </xf>
    <xf numFmtId="2" fontId="39" fillId="0" borderId="0" xfId="0" applyNumberFormat="1" applyFont="1" applyBorder="1" applyAlignment="1">
      <alignment horizontal="center" vertical="center"/>
    </xf>
    <xf numFmtId="0" fontId="50" fillId="0" borderId="6" xfId="0" applyFont="1" applyFill="1" applyBorder="1"/>
    <xf numFmtId="0" fontId="39" fillId="0" borderId="7" xfId="0" applyFont="1" applyBorder="1" applyAlignment="1">
      <alignment horizontal="center"/>
    </xf>
    <xf numFmtId="2" fontId="39" fillId="0" borderId="7" xfId="0" applyNumberFormat="1" applyFont="1" applyBorder="1" applyAlignment="1">
      <alignment horizontal="center" vertical="center"/>
    </xf>
    <xf numFmtId="0" fontId="39" fillId="0" borderId="7" xfId="0" applyFont="1" applyBorder="1"/>
    <xf numFmtId="2" fontId="39" fillId="0" borderId="7" xfId="0" applyNumberFormat="1" applyFont="1" applyBorder="1" applyAlignment="1">
      <alignment horizontal="center"/>
    </xf>
    <xf numFmtId="2" fontId="39" fillId="0" borderId="8" xfId="0" applyNumberFormat="1" applyFont="1" applyBorder="1" applyAlignment="1">
      <alignment horizontal="center"/>
    </xf>
    <xf numFmtId="0" fontId="39" fillId="0" borderId="0" xfId="0" applyFont="1" applyFill="1"/>
    <xf numFmtId="172" fontId="16" fillId="1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72" fontId="16" fillId="10" borderId="0" xfId="0" applyNumberFormat="1" applyFont="1" applyFill="1" applyBorder="1" applyAlignment="1">
      <alignment horizontal="center"/>
    </xf>
    <xf numFmtId="1" fontId="16" fillId="10" borderId="0" xfId="0" applyNumberFormat="1" applyFont="1" applyFill="1" applyBorder="1" applyAlignment="1">
      <alignment horizontal="center"/>
    </xf>
    <xf numFmtId="0" fontId="16" fillId="0" borderId="7" xfId="16" applyNumberFormat="1" applyFont="1" applyFill="1" applyBorder="1" applyAlignment="1">
      <alignment horizontal="center"/>
    </xf>
    <xf numFmtId="0" fontId="16" fillId="0" borderId="33" xfId="0" applyFont="1" applyBorder="1" applyAlignment="1">
      <alignment vertical="center"/>
    </xf>
    <xf numFmtId="0" fontId="16" fillId="0" borderId="20" xfId="0" applyFont="1" applyBorder="1" applyAlignment="1">
      <alignment horizontal="left" vertical="center"/>
    </xf>
    <xf numFmtId="0" fontId="16" fillId="0" borderId="18" xfId="0" applyFont="1" applyBorder="1" applyAlignment="1">
      <alignment vertical="center"/>
    </xf>
    <xf numFmtId="1" fontId="16" fillId="10" borderId="0" xfId="14" applyNumberFormat="1" applyFont="1" applyFill="1" applyBorder="1" applyAlignment="1">
      <alignment vertical="center"/>
    </xf>
    <xf numFmtId="0" fontId="16" fillId="0" borderId="18" xfId="0" applyFont="1" applyFill="1" applyBorder="1" applyAlignment="1">
      <alignment vertical="center"/>
    </xf>
    <xf numFmtId="0" fontId="16" fillId="0" borderId="20" xfId="0" applyFont="1" applyFill="1" applyBorder="1" applyAlignment="1">
      <alignment vertical="center"/>
    </xf>
    <xf numFmtId="0" fontId="16" fillId="0" borderId="20" xfId="0" applyFont="1" applyBorder="1" applyAlignment="1">
      <alignment vertical="center"/>
    </xf>
    <xf numFmtId="0" fontId="16" fillId="0" borderId="34" xfId="0" applyFont="1" applyBorder="1" applyAlignment="1">
      <alignment vertical="center"/>
    </xf>
    <xf numFmtId="171" fontId="16" fillId="10" borderId="21" xfId="0" applyNumberFormat="1" applyFont="1" applyFill="1" applyBorder="1" applyAlignment="1">
      <alignment vertical="center"/>
    </xf>
    <xf numFmtId="0" fontId="16" fillId="0" borderId="27" xfId="0" applyFont="1" applyBorder="1" applyAlignment="1">
      <alignment vertical="center"/>
    </xf>
    <xf numFmtId="166" fontId="46" fillId="10" borderId="0" xfId="0" applyNumberFormat="1" applyFont="1" applyFill="1" applyBorder="1" applyAlignment="1">
      <alignment horizontal="left"/>
    </xf>
    <xf numFmtId="0" fontId="5" fillId="9" borderId="5" xfId="0" applyFont="1" applyFill="1" applyBorder="1" applyAlignment="1">
      <alignment horizontal="center" vertical="center"/>
    </xf>
    <xf numFmtId="2" fontId="5" fillId="9" borderId="0" xfId="0" applyNumberFormat="1" applyFont="1" applyFill="1" applyBorder="1" applyAlignment="1">
      <alignment horizontal="center" vertical="center"/>
    </xf>
    <xf numFmtId="0" fontId="0" fillId="0" borderId="0" xfId="0" applyAlignment="1">
      <alignment horizontal="right"/>
    </xf>
    <xf numFmtId="0" fontId="5" fillId="0" borderId="6" xfId="0" applyFont="1" applyFill="1" applyBorder="1" applyAlignment="1">
      <alignment horizontal="left"/>
    </xf>
    <xf numFmtId="166" fontId="5" fillId="10" borderId="7" xfId="0" applyNumberFormat="1" applyFont="1" applyFill="1" applyBorder="1" applyAlignment="1">
      <alignment horizontal="center"/>
    </xf>
    <xf numFmtId="0" fontId="0" fillId="0" borderId="0" xfId="0" applyAlignment="1">
      <alignment horizontal="left"/>
    </xf>
    <xf numFmtId="2" fontId="5" fillId="9" borderId="5" xfId="0" applyNumberFormat="1" applyFont="1" applyFill="1" applyBorder="1" applyAlignment="1">
      <alignment horizontal="center" vertical="center"/>
    </xf>
    <xf numFmtId="0" fontId="16" fillId="0" borderId="0" xfId="0" applyFont="1" applyFill="1" applyBorder="1" applyAlignment="1">
      <alignment horizontal="left" vertical="center"/>
    </xf>
    <xf numFmtId="2" fontId="16" fillId="0" borderId="0" xfId="0" applyNumberFormat="1" applyFont="1" applyFill="1" applyBorder="1" applyAlignment="1">
      <alignment horizontal="right" vertical="center"/>
    </xf>
    <xf numFmtId="3" fontId="5" fillId="9" borderId="5" xfId="0" applyNumberFormat="1" applyFont="1" applyFill="1" applyBorder="1" applyAlignment="1">
      <alignment horizontal="center" vertical="center"/>
    </xf>
    <xf numFmtId="167" fontId="5" fillId="9" borderId="0" xfId="0" applyNumberFormat="1" applyFont="1" applyFill="1" applyBorder="1" applyAlignment="1">
      <alignment horizontal="right"/>
    </xf>
    <xf numFmtId="4" fontId="5" fillId="9" borderId="0" xfId="0" applyNumberFormat="1" applyFont="1" applyFill="1" applyBorder="1" applyAlignment="1">
      <alignment horizontal="right"/>
    </xf>
    <xf numFmtId="0" fontId="0" fillId="0" borderId="0" xfId="0" applyFont="1" applyAlignment="1">
      <alignment horizontal="right"/>
    </xf>
    <xf numFmtId="0" fontId="0" fillId="0" borderId="0" xfId="0" applyFont="1"/>
    <xf numFmtId="0" fontId="5" fillId="0" borderId="45" xfId="0" applyFont="1" applyBorder="1" applyAlignment="1">
      <alignment horizontal="center"/>
    </xf>
    <xf numFmtId="0" fontId="5" fillId="0" borderId="45" xfId="0" applyFont="1" applyBorder="1" applyAlignment="1">
      <alignment horizontal="center" vertical="center"/>
    </xf>
    <xf numFmtId="0" fontId="5" fillId="0" borderId="57"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7"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57" xfId="0" applyFont="1" applyBorder="1" applyAlignment="1">
      <alignment horizontal="center"/>
    </xf>
    <xf numFmtId="0" fontId="5" fillId="0" borderId="30" xfId="0" applyFont="1" applyBorder="1" applyAlignment="1">
      <alignment horizontal="center"/>
    </xf>
    <xf numFmtId="0" fontId="5" fillId="0" borderId="29" xfId="0" applyFont="1" applyBorder="1" applyAlignment="1">
      <alignment horizontal="center"/>
    </xf>
    <xf numFmtId="0" fontId="10" fillId="0" borderId="57" xfId="0" applyFont="1" applyBorder="1" applyAlignment="1">
      <alignment horizontal="center"/>
    </xf>
    <xf numFmtId="0" fontId="10" fillId="0" borderId="30" xfId="0" applyFont="1" applyBorder="1" applyAlignment="1">
      <alignment horizontal="center"/>
    </xf>
    <xf numFmtId="0" fontId="10" fillId="0" borderId="29" xfId="0" applyFont="1" applyBorder="1" applyAlignment="1">
      <alignment horizontal="center"/>
    </xf>
    <xf numFmtId="0" fontId="5" fillId="5" borderId="11" xfId="0" applyFont="1" applyFill="1" applyBorder="1" applyAlignment="1">
      <alignment horizontal="center" vertical="center"/>
    </xf>
    <xf numFmtId="0" fontId="5" fillId="5" borderId="5"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5" borderId="10" xfId="0" applyFont="1" applyFill="1" applyBorder="1" applyAlignment="1">
      <alignment horizontal="center" vertical="center"/>
    </xf>
    <xf numFmtId="0" fontId="5" fillId="5" borderId="0" xfId="0" applyFont="1" applyFill="1" applyBorder="1" applyAlignment="1">
      <alignment horizontal="center" vertical="center"/>
    </xf>
    <xf numFmtId="0" fontId="10" fillId="8" borderId="3" xfId="0" applyFont="1" applyFill="1" applyBorder="1" applyAlignment="1">
      <alignment horizontal="center" vertical="center" textRotation="90"/>
    </xf>
    <xf numFmtId="0" fontId="10" fillId="8" borderId="5" xfId="0" applyFont="1" applyFill="1" applyBorder="1" applyAlignment="1">
      <alignment horizontal="center" vertical="center" textRotation="90"/>
    </xf>
    <xf numFmtId="0" fontId="10" fillId="8" borderId="8" xfId="0" applyFont="1" applyFill="1" applyBorder="1" applyAlignment="1">
      <alignment horizontal="center" vertical="center" textRotation="90"/>
    </xf>
    <xf numFmtId="0" fontId="10" fillId="5" borderId="2"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5" fillId="0" borderId="4" xfId="0" applyFont="1" applyBorder="1" applyAlignment="1">
      <alignment horizontal="center" vertical="center" wrapText="1"/>
    </xf>
    <xf numFmtId="0" fontId="12" fillId="0" borderId="0" xfId="0" applyFont="1" applyFill="1" applyBorder="1" applyAlignment="1">
      <alignment horizont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12" borderId="12" xfId="0" applyFont="1" applyFill="1" applyBorder="1" applyAlignment="1">
      <alignment horizontal="center" vertical="center"/>
    </xf>
    <xf numFmtId="0" fontId="12" fillId="12" borderId="14" xfId="0" applyFont="1" applyFill="1" applyBorder="1" applyAlignment="1">
      <alignment horizontal="center" vertical="center"/>
    </xf>
    <xf numFmtId="0" fontId="12" fillId="12" borderId="13" xfId="0" applyFont="1" applyFill="1" applyBorder="1" applyAlignment="1">
      <alignment horizontal="center" vertical="center"/>
    </xf>
    <xf numFmtId="2" fontId="5" fillId="8" borderId="0" xfId="0" applyNumberFormat="1" applyFont="1" applyFill="1" applyBorder="1" applyAlignment="1">
      <alignment horizontal="center" vertical="center"/>
    </xf>
    <xf numFmtId="2" fontId="5" fillId="8" borderId="7" xfId="0" applyNumberFormat="1" applyFont="1" applyFill="1" applyBorder="1" applyAlignment="1">
      <alignment horizontal="center" vertical="center"/>
    </xf>
    <xf numFmtId="166" fontId="5" fillId="0" borderId="0" xfId="0" applyNumberFormat="1" applyFont="1" applyFill="1" applyBorder="1" applyAlignment="1">
      <alignment horizontal="center" vertical="center"/>
    </xf>
    <xf numFmtId="0" fontId="5" fillId="5" borderId="20" xfId="0" applyFont="1" applyFill="1" applyBorder="1" applyAlignment="1">
      <alignment horizontal="center" vertical="center"/>
    </xf>
    <xf numFmtId="0" fontId="5" fillId="5" borderId="18"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33"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textRotation="90"/>
    </xf>
    <xf numFmtId="0" fontId="12" fillId="0" borderId="0" xfId="0" applyFont="1" applyFill="1" applyBorder="1" applyAlignment="1">
      <alignment horizontal="center" vertical="center"/>
    </xf>
    <xf numFmtId="0" fontId="12" fillId="5" borderId="33"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26"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5" xfId="0" applyFont="1" applyFill="1" applyBorder="1" applyAlignment="1">
      <alignment horizontal="center" vertical="center"/>
    </xf>
    <xf numFmtId="0" fontId="5" fillId="9" borderId="5" xfId="0" applyFont="1" applyFill="1" applyBorder="1" applyAlignment="1">
      <alignment horizontal="center" vertical="center"/>
    </xf>
    <xf numFmtId="0" fontId="10" fillId="0" borderId="0" xfId="0" applyFont="1" applyFill="1" applyBorder="1" applyAlignment="1">
      <alignment horizontal="center" vertical="center"/>
    </xf>
    <xf numFmtId="2" fontId="5" fillId="9" borderId="0" xfId="0" applyNumberFormat="1" applyFont="1" applyFill="1" applyBorder="1" applyAlignment="1">
      <alignment horizontal="center" vertical="center"/>
    </xf>
    <xf numFmtId="0" fontId="10" fillId="5" borderId="20" xfId="0" applyFont="1" applyFill="1" applyBorder="1" applyAlignment="1">
      <alignment horizontal="center" vertic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9" fillId="5" borderId="1" xfId="0" applyFont="1" applyFill="1" applyBorder="1" applyAlignment="1">
      <alignment horizontal="center"/>
    </xf>
    <xf numFmtId="0" fontId="9" fillId="5" borderId="2" xfId="0" applyFont="1" applyFill="1" applyBorder="1" applyAlignment="1">
      <alignment horizontal="center"/>
    </xf>
    <xf numFmtId="0" fontId="9" fillId="5" borderId="3" xfId="0" applyFont="1" applyFill="1" applyBorder="1" applyAlignment="1">
      <alignment horizontal="center"/>
    </xf>
    <xf numFmtId="0" fontId="10" fillId="12" borderId="1" xfId="0" applyFont="1" applyFill="1" applyBorder="1" applyAlignment="1">
      <alignment horizontal="center"/>
    </xf>
    <xf numFmtId="0" fontId="10" fillId="12" borderId="2" xfId="0" applyFont="1" applyFill="1" applyBorder="1" applyAlignment="1">
      <alignment horizontal="center"/>
    </xf>
    <xf numFmtId="0" fontId="10" fillId="12" borderId="3" xfId="0" applyFont="1" applyFill="1" applyBorder="1" applyAlignment="1">
      <alignment horizontal="center"/>
    </xf>
    <xf numFmtId="0" fontId="0" fillId="6" borderId="2" xfId="0" applyFill="1" applyBorder="1" applyAlignment="1">
      <alignment horizontal="center"/>
    </xf>
    <xf numFmtId="0" fontId="0" fillId="6" borderId="28" xfId="0"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166" fontId="17" fillId="0" borderId="4" xfId="0" applyNumberFormat="1" applyFont="1" applyBorder="1" applyAlignment="1">
      <alignment horizontal="center"/>
    </xf>
    <xf numFmtId="166" fontId="17" fillId="0" borderId="0" xfId="0" applyNumberFormat="1" applyFont="1" applyBorder="1" applyAlignment="1">
      <alignment horizontal="center"/>
    </xf>
    <xf numFmtId="166" fontId="17" fillId="0" borderId="5" xfId="0" applyNumberFormat="1" applyFont="1" applyBorder="1" applyAlignment="1">
      <alignment horizontal="center"/>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7" fillId="0" borderId="4" xfId="0" applyFont="1" applyBorder="1" applyAlignment="1">
      <alignment horizontal="center"/>
    </xf>
    <xf numFmtId="0" fontId="17" fillId="0" borderId="0" xfId="0" applyFont="1" applyBorder="1" applyAlignment="1">
      <alignment horizontal="center"/>
    </xf>
    <xf numFmtId="0" fontId="10" fillId="5" borderId="4" xfId="0" applyFont="1" applyFill="1" applyBorder="1" applyAlignment="1">
      <alignment horizontal="center"/>
    </xf>
    <xf numFmtId="0" fontId="10" fillId="5" borderId="0" xfId="0" applyFont="1" applyFill="1" applyBorder="1" applyAlignment="1">
      <alignment horizontal="center"/>
    </xf>
    <xf numFmtId="0" fontId="10" fillId="5" borderId="5" xfId="0" applyFont="1" applyFill="1" applyBorder="1" applyAlignment="1">
      <alignment horizontal="center"/>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5" fillId="5" borderId="4" xfId="0" applyFont="1" applyFill="1" applyBorder="1" applyAlignment="1">
      <alignment horizontal="center"/>
    </xf>
    <xf numFmtId="0" fontId="5" fillId="5" borderId="0" xfId="0" applyFont="1" applyFill="1" applyBorder="1" applyAlignment="1">
      <alignment horizontal="center"/>
    </xf>
    <xf numFmtId="0" fontId="5" fillId="5" borderId="5" xfId="0" applyFont="1" applyFill="1" applyBorder="1" applyAlignment="1">
      <alignment horizontal="center"/>
    </xf>
    <xf numFmtId="0" fontId="5" fillId="0" borderId="5" xfId="0" applyFont="1" applyBorder="1" applyAlignment="1">
      <alignment horizontal="center" vertical="center" wrapText="1"/>
    </xf>
    <xf numFmtId="0" fontId="5" fillId="5" borderId="25" xfId="0" applyFont="1" applyFill="1" applyBorder="1" applyAlignment="1">
      <alignment horizontal="center"/>
    </xf>
    <xf numFmtId="0" fontId="5" fillId="5" borderId="21" xfId="0" applyFont="1" applyFill="1" applyBorder="1" applyAlignment="1">
      <alignment horizontal="center"/>
    </xf>
    <xf numFmtId="0" fontId="5" fillId="5" borderId="22" xfId="0" applyFont="1" applyFill="1" applyBorder="1" applyAlignment="1">
      <alignment horizontal="center"/>
    </xf>
    <xf numFmtId="0" fontId="9" fillId="0" borderId="4" xfId="0" applyFont="1" applyBorder="1" applyAlignment="1">
      <alignment horizontal="left"/>
    </xf>
    <xf numFmtId="0" fontId="9" fillId="0" borderId="0" xfId="0" applyFont="1" applyBorder="1" applyAlignment="1">
      <alignment horizontal="left"/>
    </xf>
    <xf numFmtId="0" fontId="9" fillId="0" borderId="5" xfId="0" applyFont="1" applyBorder="1" applyAlignment="1">
      <alignment horizontal="left"/>
    </xf>
    <xf numFmtId="0" fontId="9" fillId="12" borderId="1" xfId="0" applyFont="1" applyFill="1" applyBorder="1" applyAlignment="1">
      <alignment horizontal="center"/>
    </xf>
    <xf numFmtId="0" fontId="9" fillId="12" borderId="2" xfId="0" applyFont="1" applyFill="1" applyBorder="1" applyAlignment="1">
      <alignment horizontal="center"/>
    </xf>
    <xf numFmtId="0" fontId="9" fillId="12" borderId="3" xfId="0" applyFont="1" applyFill="1" applyBorder="1" applyAlignment="1">
      <alignment horizontal="center"/>
    </xf>
    <xf numFmtId="0" fontId="5" fillId="5" borderId="2" xfId="0" applyFont="1" applyFill="1" applyBorder="1" applyAlignment="1">
      <alignment horizontal="left"/>
    </xf>
    <xf numFmtId="0" fontId="5" fillId="5" borderId="3" xfId="0" applyFont="1" applyFill="1" applyBorder="1" applyAlignment="1">
      <alignment horizontal="left"/>
    </xf>
    <xf numFmtId="0" fontId="5" fillId="0" borderId="0" xfId="0" applyFont="1" applyFill="1" applyBorder="1" applyAlignment="1">
      <alignment horizontal="center"/>
    </xf>
    <xf numFmtId="3" fontId="5" fillId="0" borderId="7" xfId="0" applyNumberFormat="1" applyFont="1" applyFill="1" applyBorder="1" applyAlignment="1">
      <alignment horizontal="center"/>
    </xf>
    <xf numFmtId="3" fontId="5" fillId="0" borderId="8" xfId="0" applyNumberFormat="1" applyFont="1" applyFill="1" applyBorder="1" applyAlignment="1">
      <alignment horizont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166" fontId="10" fillId="11" borderId="4" xfId="0" applyNumberFormat="1" applyFont="1" applyFill="1" applyBorder="1" applyAlignment="1">
      <alignment horizontal="center"/>
    </xf>
    <xf numFmtId="166" fontId="10" fillId="11" borderId="0" xfId="0" applyNumberFormat="1" applyFont="1" applyFill="1" applyBorder="1" applyAlignment="1">
      <alignment horizontal="center"/>
    </xf>
    <xf numFmtId="166" fontId="10" fillId="11" borderId="5" xfId="0" applyNumberFormat="1" applyFont="1" applyFill="1" applyBorder="1" applyAlignment="1">
      <alignment horizontal="center"/>
    </xf>
    <xf numFmtId="0" fontId="9" fillId="5" borderId="51" xfId="0" applyFont="1" applyFill="1" applyBorder="1" applyAlignment="1">
      <alignment horizontal="center"/>
    </xf>
    <xf numFmtId="0" fontId="9" fillId="5" borderId="52" xfId="0" applyFont="1" applyFill="1" applyBorder="1" applyAlignment="1">
      <alignment horizontal="center"/>
    </xf>
    <xf numFmtId="0" fontId="1" fillId="6" borderId="1"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3" xfId="0" applyFont="1" applyFill="1" applyBorder="1" applyAlignment="1">
      <alignment horizontal="center"/>
    </xf>
    <xf numFmtId="166" fontId="9" fillId="0" borderId="4" xfId="0" applyNumberFormat="1" applyFont="1" applyBorder="1" applyAlignment="1">
      <alignment horizontal="center"/>
    </xf>
    <xf numFmtId="166" fontId="9" fillId="0" borderId="0" xfId="0" applyNumberFormat="1" applyFont="1" applyBorder="1" applyAlignment="1">
      <alignment horizontal="center"/>
    </xf>
    <xf numFmtId="166" fontId="9" fillId="0" borderId="5" xfId="0" applyNumberFormat="1" applyFont="1" applyBorder="1" applyAlignment="1">
      <alignment horizontal="center"/>
    </xf>
    <xf numFmtId="0" fontId="0" fillId="0" borderId="2" xfId="0" applyBorder="1"/>
    <xf numFmtId="0" fontId="0" fillId="0" borderId="3" xfId="0" applyBorder="1"/>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Border="1" applyAlignment="1">
      <alignment horizontal="center" vertical="center" wrapText="1"/>
    </xf>
    <xf numFmtId="0" fontId="9" fillId="5" borderId="43" xfId="0" applyFont="1" applyFill="1" applyBorder="1" applyAlignment="1">
      <alignment horizontal="center"/>
    </xf>
    <xf numFmtId="0" fontId="9" fillId="5" borderId="44" xfId="0" applyFont="1" applyFill="1" applyBorder="1" applyAlignment="1">
      <alignment horizontal="center"/>
    </xf>
    <xf numFmtId="0" fontId="9" fillId="5" borderId="12" xfId="0" applyFont="1" applyFill="1" applyBorder="1" applyAlignment="1">
      <alignment horizontal="center"/>
    </xf>
    <xf numFmtId="0" fontId="9" fillId="5" borderId="14" xfId="0" applyFont="1" applyFill="1" applyBorder="1" applyAlignment="1">
      <alignment horizontal="center"/>
    </xf>
    <xf numFmtId="0" fontId="0" fillId="0" borderId="31" xfId="0" applyFill="1" applyBorder="1" applyAlignment="1">
      <alignment horizontal="center" vertical="center" wrapText="1"/>
    </xf>
    <xf numFmtId="0" fontId="0" fillId="0" borderId="53" xfId="0" applyFill="1" applyBorder="1" applyAlignment="1">
      <alignment horizontal="center" vertical="center" wrapText="1"/>
    </xf>
    <xf numFmtId="0" fontId="9" fillId="5" borderId="13" xfId="0" applyFont="1" applyFill="1" applyBorder="1" applyAlignment="1">
      <alignment horizontal="center"/>
    </xf>
    <xf numFmtId="0" fontId="0" fillId="0" borderId="15" xfId="0" applyFill="1" applyBorder="1" applyAlignment="1">
      <alignment horizontal="center" vertical="center" wrapText="1"/>
    </xf>
    <xf numFmtId="0" fontId="1" fillId="6" borderId="4" xfId="0" applyFont="1" applyFill="1" applyBorder="1" applyAlignment="1">
      <alignment horizontal="center" vertical="center"/>
    </xf>
    <xf numFmtId="0" fontId="1" fillId="6" borderId="0" xfId="0" applyFont="1" applyFill="1" applyBorder="1" applyAlignment="1">
      <alignment horizontal="center" vertical="center"/>
    </xf>
    <xf numFmtId="166" fontId="13" fillId="11" borderId="4" xfId="0" applyNumberFormat="1" applyFont="1" applyFill="1" applyBorder="1" applyAlignment="1">
      <alignment horizontal="center"/>
    </xf>
    <xf numFmtId="166" fontId="13" fillId="11" borderId="0" xfId="0" applyNumberFormat="1" applyFont="1" applyFill="1" applyBorder="1" applyAlignment="1">
      <alignment horizontal="center"/>
    </xf>
    <xf numFmtId="166" fontId="13" fillId="11" borderId="5" xfId="0" applyNumberFormat="1" applyFont="1" applyFill="1" applyBorder="1" applyAlignment="1">
      <alignment horizontal="center"/>
    </xf>
    <xf numFmtId="0" fontId="12" fillId="6" borderId="1" xfId="0" applyFont="1" applyFill="1" applyBorder="1" applyAlignment="1">
      <alignment horizontal="center"/>
    </xf>
    <xf numFmtId="0" fontId="12" fillId="6" borderId="2" xfId="0" applyFont="1" applyFill="1" applyBorder="1" applyAlignment="1">
      <alignment horizontal="center"/>
    </xf>
    <xf numFmtId="0" fontId="12" fillId="6" borderId="3" xfId="0" applyFont="1" applyFill="1" applyBorder="1" applyAlignment="1">
      <alignment horizontal="center"/>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166" fontId="49" fillId="0" borderId="4" xfId="0" applyNumberFormat="1" applyFont="1" applyBorder="1" applyAlignment="1">
      <alignment horizontal="center"/>
    </xf>
    <xf numFmtId="166" fontId="49" fillId="0" borderId="0" xfId="0" applyNumberFormat="1" applyFont="1" applyBorder="1" applyAlignment="1">
      <alignment horizontal="center"/>
    </xf>
    <xf numFmtId="166" fontId="49" fillId="0" borderId="5" xfId="0" applyNumberFormat="1" applyFont="1" applyBorder="1" applyAlignment="1">
      <alignment horizontal="center"/>
    </xf>
    <xf numFmtId="0" fontId="16" fillId="0" borderId="0" xfId="0" applyFont="1" applyFill="1" applyBorder="1" applyAlignment="1">
      <alignment horizontal="left"/>
    </xf>
    <xf numFmtId="0" fontId="16" fillId="0" borderId="0" xfId="0" applyFont="1" applyBorder="1" applyAlignment="1">
      <alignment horizontal="center" vertical="center" wrapText="1"/>
    </xf>
    <xf numFmtId="0" fontId="12" fillId="6" borderId="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12" xfId="0" applyFont="1" applyFill="1" applyBorder="1" applyAlignment="1">
      <alignment horizontal="center"/>
    </xf>
    <xf numFmtId="0" fontId="12" fillId="6" borderId="13" xfId="0" applyFont="1" applyFill="1" applyBorder="1" applyAlignment="1">
      <alignment horizontal="center"/>
    </xf>
    <xf numFmtId="0" fontId="12" fillId="0" borderId="4" xfId="0" applyFont="1" applyBorder="1" applyAlignment="1">
      <alignment horizontal="left"/>
    </xf>
    <xf numFmtId="0" fontId="12" fillId="0" borderId="0" xfId="0" applyFont="1" applyBorder="1" applyAlignment="1">
      <alignment horizontal="left"/>
    </xf>
    <xf numFmtId="0" fontId="12" fillId="0" borderId="5" xfId="0" applyFont="1" applyBorder="1" applyAlignment="1">
      <alignment horizontal="left"/>
    </xf>
    <xf numFmtId="0" fontId="12" fillId="6" borderId="4" xfId="0" applyNumberFormat="1" applyFont="1" applyFill="1" applyBorder="1" applyAlignment="1">
      <alignment horizontal="center" vertical="center"/>
    </xf>
    <xf numFmtId="0" fontId="12" fillId="6" borderId="0" xfId="0" applyNumberFormat="1" applyFont="1" applyFill="1" applyBorder="1" applyAlignment="1">
      <alignment horizontal="center" vertical="center"/>
    </xf>
    <xf numFmtId="0" fontId="12" fillId="6" borderId="5" xfId="0" applyNumberFormat="1" applyFont="1" applyFill="1" applyBorder="1" applyAlignment="1">
      <alignment horizontal="center" vertical="center"/>
    </xf>
    <xf numFmtId="0" fontId="12" fillId="5" borderId="4" xfId="0" applyFont="1" applyFill="1" applyBorder="1" applyAlignment="1">
      <alignment horizontal="center"/>
    </xf>
    <xf numFmtId="0" fontId="12" fillId="5" borderId="0" xfId="0" applyFont="1" applyFill="1" applyBorder="1" applyAlignment="1">
      <alignment horizontal="center"/>
    </xf>
    <xf numFmtId="0" fontId="12" fillId="5" borderId="5" xfId="0" applyFont="1" applyFill="1" applyBorder="1" applyAlignment="1">
      <alignment horizontal="center"/>
    </xf>
    <xf numFmtId="0" fontId="12" fillId="5" borderId="51" xfId="0" applyFont="1" applyFill="1" applyBorder="1" applyAlignment="1">
      <alignment horizontal="center"/>
    </xf>
    <xf numFmtId="0" fontId="12" fillId="5" borderId="52" xfId="0" applyFont="1" applyFill="1" applyBorder="1" applyAlignment="1">
      <alignment horizontal="center"/>
    </xf>
    <xf numFmtId="166" fontId="12" fillId="0" borderId="4" xfId="0" applyNumberFormat="1" applyFont="1" applyBorder="1" applyAlignment="1">
      <alignment horizontal="center"/>
    </xf>
    <xf numFmtId="166" fontId="12" fillId="0" borderId="0" xfId="0" applyNumberFormat="1" applyFont="1" applyBorder="1" applyAlignment="1">
      <alignment horizontal="center"/>
    </xf>
    <xf numFmtId="166" fontId="12" fillId="0" borderId="5" xfId="0" applyNumberFormat="1" applyFont="1" applyBorder="1" applyAlignment="1">
      <alignment horizontal="center"/>
    </xf>
    <xf numFmtId="0" fontId="53" fillId="6" borderId="1" xfId="0" applyFont="1" applyFill="1" applyBorder="1" applyAlignment="1">
      <alignment horizontal="center" vertical="center"/>
    </xf>
    <xf numFmtId="0" fontId="53" fillId="6" borderId="6" xfId="0" applyFont="1" applyFill="1" applyBorder="1" applyAlignment="1">
      <alignment horizontal="center" vertical="center"/>
    </xf>
    <xf numFmtId="0" fontId="53" fillId="6" borderId="2" xfId="0" applyFont="1" applyFill="1" applyBorder="1" applyAlignment="1">
      <alignment horizontal="center" vertical="center"/>
    </xf>
    <xf numFmtId="0" fontId="53" fillId="6" borderId="7" xfId="0" applyFont="1" applyFill="1" applyBorder="1" applyAlignment="1">
      <alignment horizontal="center" vertical="center"/>
    </xf>
    <xf numFmtId="0" fontId="53" fillId="6" borderId="2" xfId="0" applyFont="1" applyFill="1" applyBorder="1" applyAlignment="1">
      <alignment horizontal="center"/>
    </xf>
    <xf numFmtId="0" fontId="53" fillId="6" borderId="3" xfId="0" applyFont="1" applyFill="1" applyBorder="1" applyAlignment="1">
      <alignment horizontal="center"/>
    </xf>
    <xf numFmtId="0" fontId="39" fillId="0" borderId="4"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12" fillId="5" borderId="43" xfId="0" applyFont="1" applyFill="1" applyBorder="1" applyAlignment="1">
      <alignment horizontal="center"/>
    </xf>
    <xf numFmtId="0" fontId="12" fillId="5" borderId="44" xfId="0" applyFont="1" applyFill="1" applyBorder="1" applyAlignment="1">
      <alignment horizontal="center"/>
    </xf>
    <xf numFmtId="0" fontId="39" fillId="0" borderId="2" xfId="0" applyFont="1" applyBorder="1"/>
    <xf numFmtId="0" fontId="39" fillId="0" borderId="3" xfId="0" applyFont="1" applyBorder="1"/>
    <xf numFmtId="0" fontId="39" fillId="0" borderId="4" xfId="0" applyFont="1" applyBorder="1" applyAlignment="1">
      <alignment horizontal="center" vertical="center" wrapText="1"/>
    </xf>
  </cellXfs>
  <cellStyles count="17">
    <cellStyle name="Milliers" xfId="14" builtinId="3"/>
    <cellStyle name="Normal" xfId="0" builtinId="0"/>
    <cellStyle name="Normal 2" xfId="1"/>
    <cellStyle name="Normal 3" xfId="2"/>
    <cellStyle name="Normal 3 2" xfId="8"/>
    <cellStyle name="Normal 4" xfId="3"/>
    <cellStyle name="Normal 4 2" xfId="9"/>
    <cellStyle name="Normal 6" xfId="4"/>
    <cellStyle name="Normal 6 2" xfId="10"/>
    <cellStyle name="Normal 7" xfId="5"/>
    <cellStyle name="Normal 7 2" xfId="11"/>
    <cellStyle name="Normal 8" xfId="6"/>
    <cellStyle name="Normal 8 2" xfId="12"/>
    <cellStyle name="Normal 9" xfId="7"/>
    <cellStyle name="Normal 9 2" xfId="13"/>
    <cellStyle name="Pourcentage" xfId="16" builtinId="5"/>
    <cellStyle name="Style 1" xfId="15"/>
  </cellStyles>
  <dxfs count="5">
    <dxf>
      <font>
        <color theme="0" tint="-0.14996795556505021"/>
      </font>
      <fill>
        <patternFill patternType="darkUp">
          <bgColor theme="0" tint="-0.24994659260841701"/>
        </patternFill>
      </fill>
    </dxf>
    <dxf>
      <font>
        <color theme="0" tint="-0.14996795556505021"/>
      </font>
      <fill>
        <patternFill patternType="darkUp">
          <bgColor theme="0" tint="-0.24994659260841701"/>
        </patternFill>
      </fill>
    </dxf>
    <dxf>
      <font>
        <color theme="0" tint="-0.14996795556505021"/>
      </font>
      <fill>
        <patternFill patternType="darkUp">
          <bgColor theme="0" tint="-0.24994659260841701"/>
        </patternFill>
      </fill>
    </dxf>
    <dxf>
      <font>
        <color theme="0" tint="-0.14996795556505021"/>
      </font>
      <fill>
        <patternFill patternType="darkUp">
          <bgColor theme="0" tint="-0.24994659260841701"/>
        </patternFill>
      </fill>
    </dxf>
    <dxf>
      <font>
        <color theme="0" tint="-0.14996795556505021"/>
      </font>
      <fill>
        <patternFill patternType="darkUp">
          <bgColor theme="0" tint="-0.24994659260841701"/>
        </patternFill>
      </fill>
    </dxf>
  </dxfs>
  <tableStyles count="0" defaultTableStyle="TableStyleMedium9" defaultPivotStyle="PivotStyleLight16"/>
  <colors>
    <mruColors>
      <color rgb="FF66CCFF"/>
      <color rgb="FFCCFF99"/>
      <color rgb="FF66FF33"/>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lower ends</a:t>
            </a:r>
          </a:p>
        </c:rich>
      </c:tx>
    </c:title>
    <c:plotArea>
      <c:layout/>
      <c:scatterChart>
        <c:scatterStyle val="lineMarker"/>
        <c:ser>
          <c:idx val="0"/>
          <c:order val="0"/>
          <c:tx>
            <c:v>low ends</c:v>
          </c:tx>
          <c:spPr>
            <a:ln w="28575">
              <a:noFill/>
            </a:ln>
          </c:spPr>
          <c:yVal>
            <c:numRef>
              <c:f>('Solid fuels - NOx Analysis'!$F$122:$F$123,'Solid fuels - NOx Analysis'!$F$125:$F$128,'Solid fuels - NOx Analysis'!$F$130:$F$132)</c:f>
              <c:numCache>
                <c:formatCode>0.00</c:formatCode>
                <c:ptCount val="9"/>
                <c:pt idx="0">
                  <c:v>45.623936048724794</c:v>
                </c:pt>
                <c:pt idx="1">
                  <c:v>114.05984012181196</c:v>
                </c:pt>
                <c:pt idx="2">
                  <c:v>34.217952036543593</c:v>
                </c:pt>
                <c:pt idx="3">
                  <c:v>58.821016659547197</c:v>
                </c:pt>
                <c:pt idx="4">
                  <c:v>20.212169735788631</c:v>
                </c:pt>
                <c:pt idx="5">
                  <c:v>16.537229783827062</c:v>
                </c:pt>
                <c:pt idx="6">
                  <c:v>31.994025392083643</c:v>
                </c:pt>
                <c:pt idx="7">
                  <c:v>23.281765153436471</c:v>
                </c:pt>
                <c:pt idx="8">
                  <c:v>33.066186402521389</c:v>
                </c:pt>
              </c:numCache>
            </c:numRef>
          </c:yVal>
        </c:ser>
        <c:axId val="146255872"/>
        <c:axId val="146257408"/>
      </c:scatterChart>
      <c:valAx>
        <c:axId val="146255872"/>
        <c:scaling>
          <c:orientation val="minMax"/>
        </c:scaling>
        <c:axPos val="b"/>
        <c:tickLblPos val="nextTo"/>
        <c:crossAx val="146257408"/>
        <c:crosses val="autoZero"/>
        <c:crossBetween val="midCat"/>
      </c:valAx>
      <c:valAx>
        <c:axId val="146257408"/>
        <c:scaling>
          <c:orientation val="minMax"/>
        </c:scaling>
        <c:axPos val="l"/>
        <c:majorGridlines/>
        <c:title>
          <c:tx>
            <c:rich>
              <a:bodyPr rot="-5400000" vert="horz"/>
              <a:lstStyle/>
              <a:p>
                <a:pPr>
                  <a:defRPr/>
                </a:pPr>
                <a:r>
                  <a:rPr lang="en-US"/>
                  <a:t>Specific Investment [EUR/kWth, EUR 2010]</a:t>
                </a:r>
              </a:p>
            </c:rich>
          </c:tx>
        </c:title>
        <c:numFmt formatCode="#,##0" sourceLinked="0"/>
        <c:tickLblPos val="nextTo"/>
        <c:crossAx val="146255872"/>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min</c:v>
          </c:tx>
          <c:cat>
            <c:strRef>
              <c:f>'Solid fuel_Fabric_Filter DSI '!$C$131:$C$142</c:f>
              <c:strCache>
                <c:ptCount val="12"/>
                <c:pt idx="0">
                  <c:v>RAINS</c:v>
                </c:pt>
                <c:pt idx="1">
                  <c:v>AEP</c:v>
                </c:pt>
                <c:pt idx="2">
                  <c:v>Nalbandian [Smith]</c:v>
                </c:pt>
                <c:pt idx="3">
                  <c:v>Naldandian [Orfanoudakis]</c:v>
                </c:pt>
                <c:pt idx="4">
                  <c:v>Nalbandian</c:v>
                </c:pt>
                <c:pt idx="5">
                  <c:v>World bank</c:v>
                </c:pt>
                <c:pt idx="6">
                  <c:v>IEA</c:v>
                </c:pt>
                <c:pt idx="7">
                  <c:v>Balcke Durr</c:v>
                </c:pt>
                <c:pt idx="8">
                  <c:v>PM BART determination [American Electric Power]</c:v>
                </c:pt>
                <c:pt idx="9">
                  <c:v>Sargent et Lundy</c:v>
                </c:pt>
                <c:pt idx="10">
                  <c:v>IEA</c:v>
                </c:pt>
                <c:pt idx="11">
                  <c:v>Wu</c:v>
                </c:pt>
              </c:strCache>
            </c:strRef>
          </c:cat>
          <c:val>
            <c:numRef>
              <c:f>'Solid fuel_Fabric_Filter DSI '!$J$131:$J$142</c:f>
              <c:numCache>
                <c:formatCode>0.00</c:formatCode>
                <c:ptCount val="12"/>
                <c:pt idx="0">
                  <c:v>16.373569549675128</c:v>
                </c:pt>
                <c:pt idx="1">
                  <c:v>19.2630229996178</c:v>
                </c:pt>
                <c:pt idx="2">
                  <c:v>18.608772368213042</c:v>
                </c:pt>
                <c:pt idx="3">
                  <c:v>21.242089212771489</c:v>
                </c:pt>
                <c:pt idx="4">
                  <c:v>21.066534756467593</c:v>
                </c:pt>
                <c:pt idx="5">
                  <c:v>22.433205415972775</c:v>
                </c:pt>
                <c:pt idx="6">
                  <c:v>25.229628323326754</c:v>
                </c:pt>
                <c:pt idx="7">
                  <c:v>18.857768508863398</c:v>
                </c:pt>
                <c:pt idx="8">
                  <c:v>38.232827088499413</c:v>
                </c:pt>
                <c:pt idx="9">
                  <c:v>18.737613951644871</c:v>
                </c:pt>
                <c:pt idx="10">
                  <c:v>7.2603367198647568</c:v>
                </c:pt>
                <c:pt idx="11">
                  <c:v>6.08028241730372</c:v>
                </c:pt>
              </c:numCache>
            </c:numRef>
          </c:val>
        </c:ser>
        <c:ser>
          <c:idx val="1"/>
          <c:order val="1"/>
          <c:tx>
            <c:v>max</c:v>
          </c:tx>
          <c:val>
            <c:numRef>
              <c:f>'Solid fuel_Fabric_Filter DSI '!$K$131:$K$142</c:f>
              <c:numCache>
                <c:formatCode>0.00</c:formatCode>
                <c:ptCount val="12"/>
                <c:pt idx="0">
                  <c:v>16.373569549675128</c:v>
                </c:pt>
                <c:pt idx="1">
                  <c:v>19.2630229996178</c:v>
                </c:pt>
                <c:pt idx="2">
                  <c:v>28.088713008623458</c:v>
                </c:pt>
                <c:pt idx="3">
                  <c:v>21.242089212771489</c:v>
                </c:pt>
                <c:pt idx="4">
                  <c:v>21.066534756467593</c:v>
                </c:pt>
                <c:pt idx="5">
                  <c:v>22.433205415972775</c:v>
                </c:pt>
                <c:pt idx="6">
                  <c:v>35.321479652657452</c:v>
                </c:pt>
                <c:pt idx="7">
                  <c:v>20.102189781021899</c:v>
                </c:pt>
                <c:pt idx="8">
                  <c:v>38.232827088499413</c:v>
                </c:pt>
                <c:pt idx="9">
                  <c:v>25.159603080233286</c:v>
                </c:pt>
                <c:pt idx="10">
                  <c:v>68.065656748732096</c:v>
                </c:pt>
                <c:pt idx="11">
                  <c:v>25.724271765515738</c:v>
                </c:pt>
              </c:numCache>
            </c:numRef>
          </c:val>
        </c:ser>
        <c:axId val="147698048"/>
        <c:axId val="147699584"/>
      </c:barChart>
      <c:catAx>
        <c:axId val="147698048"/>
        <c:scaling>
          <c:orientation val="minMax"/>
        </c:scaling>
        <c:axPos val="b"/>
        <c:tickLblPos val="nextTo"/>
        <c:crossAx val="147699584"/>
        <c:crosses val="autoZero"/>
        <c:auto val="1"/>
        <c:lblAlgn val="ctr"/>
        <c:lblOffset val="100"/>
      </c:catAx>
      <c:valAx>
        <c:axId val="147699584"/>
        <c:scaling>
          <c:orientation val="minMax"/>
          <c:max val="70"/>
        </c:scaling>
        <c:axPos val="l"/>
        <c:majorGridlines/>
        <c:title>
          <c:tx>
            <c:rich>
              <a:bodyPr rot="-5400000" vert="horz"/>
              <a:lstStyle/>
              <a:p>
                <a:pPr>
                  <a:defRPr/>
                </a:pPr>
                <a:r>
                  <a:rPr lang="en-US"/>
                  <a:t>EURO 2010 / kWth</a:t>
                </a:r>
              </a:p>
            </c:rich>
          </c:tx>
        </c:title>
        <c:numFmt formatCode="General" sourceLinked="0"/>
        <c:tickLblPos val="nextTo"/>
        <c:crossAx val="147698048"/>
        <c:crosses val="autoZero"/>
        <c:crossBetween val="between"/>
      </c:valAx>
    </c:plotArea>
    <c:legend>
      <c:legendPos val="r"/>
    </c:legend>
    <c:plotVisOnly val="1"/>
    <c:dispBlanksAs val="gap"/>
  </c:chart>
  <c:printSettings>
    <c:headerFooter/>
    <c:pageMargins b="0.75000000000000833" l="0.70000000000000062" r="0.70000000000000062" t="0.750000000000008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min</c:v>
          </c:tx>
          <c:cat>
            <c:strRef>
              <c:f>'Liquid fuel_Fabric_Filter DSI'!$C$131:$C$142</c:f>
              <c:strCache>
                <c:ptCount val="12"/>
                <c:pt idx="0">
                  <c:v>RAINS</c:v>
                </c:pt>
                <c:pt idx="1">
                  <c:v>AEP</c:v>
                </c:pt>
                <c:pt idx="2">
                  <c:v>Nalbandian [Smith]</c:v>
                </c:pt>
                <c:pt idx="3">
                  <c:v>Naldandian [Orfanoudakis]</c:v>
                </c:pt>
                <c:pt idx="4">
                  <c:v>Nalbandian</c:v>
                </c:pt>
                <c:pt idx="5">
                  <c:v>World bank</c:v>
                </c:pt>
                <c:pt idx="6">
                  <c:v>IEA</c:v>
                </c:pt>
                <c:pt idx="7">
                  <c:v>Balcke Durr</c:v>
                </c:pt>
                <c:pt idx="8">
                  <c:v>PM BART determination [American Electric Power]</c:v>
                </c:pt>
                <c:pt idx="9">
                  <c:v>Sargent et Lundy</c:v>
                </c:pt>
                <c:pt idx="10">
                  <c:v>IEA</c:v>
                </c:pt>
                <c:pt idx="11">
                  <c:v>Wu</c:v>
                </c:pt>
              </c:strCache>
            </c:strRef>
          </c:cat>
          <c:val>
            <c:numRef>
              <c:f>'Liquid fuel_Fabric_Filter DSI'!$J$131:$J$142</c:f>
              <c:numCache>
                <c:formatCode>0.00</c:formatCode>
                <c:ptCount val="12"/>
                <c:pt idx="0">
                  <c:v>16.373569549675128</c:v>
                </c:pt>
                <c:pt idx="1">
                  <c:v>19.2630229996178</c:v>
                </c:pt>
                <c:pt idx="2">
                  <c:v>18.608772368213042</c:v>
                </c:pt>
                <c:pt idx="3">
                  <c:v>21.242089212771489</c:v>
                </c:pt>
                <c:pt idx="4">
                  <c:v>21.066534756467593</c:v>
                </c:pt>
                <c:pt idx="5">
                  <c:v>22.433205415972775</c:v>
                </c:pt>
                <c:pt idx="6">
                  <c:v>25.229628323326754</c:v>
                </c:pt>
                <c:pt idx="7">
                  <c:v>18.857768508863398</c:v>
                </c:pt>
                <c:pt idx="8">
                  <c:v>38.232827088499413</c:v>
                </c:pt>
                <c:pt idx="9">
                  <c:v>18.737613951644871</c:v>
                </c:pt>
                <c:pt idx="10">
                  <c:v>7.2603367198647568</c:v>
                </c:pt>
                <c:pt idx="11">
                  <c:v>6.08028241730372</c:v>
                </c:pt>
              </c:numCache>
            </c:numRef>
          </c:val>
        </c:ser>
        <c:ser>
          <c:idx val="1"/>
          <c:order val="1"/>
          <c:tx>
            <c:v>max</c:v>
          </c:tx>
          <c:val>
            <c:numRef>
              <c:f>'Liquid fuel_Fabric_Filter DSI'!$K$131:$K$142</c:f>
              <c:numCache>
                <c:formatCode>0.00</c:formatCode>
                <c:ptCount val="12"/>
                <c:pt idx="0">
                  <c:v>16.373569549675128</c:v>
                </c:pt>
                <c:pt idx="1">
                  <c:v>19.2630229996178</c:v>
                </c:pt>
                <c:pt idx="2">
                  <c:v>28.088713008623458</c:v>
                </c:pt>
                <c:pt idx="3">
                  <c:v>21.242089212771489</c:v>
                </c:pt>
                <c:pt idx="4">
                  <c:v>21.066534756467593</c:v>
                </c:pt>
                <c:pt idx="5">
                  <c:v>22.433205415972775</c:v>
                </c:pt>
                <c:pt idx="6">
                  <c:v>35.321479652657452</c:v>
                </c:pt>
                <c:pt idx="7">
                  <c:v>20.102189781021899</c:v>
                </c:pt>
                <c:pt idx="8">
                  <c:v>38.232827088499413</c:v>
                </c:pt>
                <c:pt idx="9">
                  <c:v>25.159603080233286</c:v>
                </c:pt>
                <c:pt idx="10">
                  <c:v>68.065656748732096</c:v>
                </c:pt>
                <c:pt idx="11">
                  <c:v>25.724271765515738</c:v>
                </c:pt>
              </c:numCache>
            </c:numRef>
          </c:val>
        </c:ser>
        <c:axId val="148200448"/>
        <c:axId val="148210432"/>
      </c:barChart>
      <c:catAx>
        <c:axId val="148200448"/>
        <c:scaling>
          <c:orientation val="minMax"/>
        </c:scaling>
        <c:axPos val="b"/>
        <c:tickLblPos val="nextTo"/>
        <c:crossAx val="148210432"/>
        <c:crosses val="autoZero"/>
        <c:auto val="1"/>
        <c:lblAlgn val="ctr"/>
        <c:lblOffset val="100"/>
      </c:catAx>
      <c:valAx>
        <c:axId val="148210432"/>
        <c:scaling>
          <c:orientation val="minMax"/>
          <c:max val="70"/>
        </c:scaling>
        <c:axPos val="l"/>
        <c:majorGridlines/>
        <c:title>
          <c:tx>
            <c:rich>
              <a:bodyPr rot="-5400000" vert="horz"/>
              <a:lstStyle/>
              <a:p>
                <a:pPr>
                  <a:defRPr/>
                </a:pPr>
                <a:r>
                  <a:rPr lang="en-US"/>
                  <a:t>EURO 2010 / kWth</a:t>
                </a:r>
              </a:p>
            </c:rich>
          </c:tx>
        </c:title>
        <c:numFmt formatCode="General" sourceLinked="0"/>
        <c:tickLblPos val="nextTo"/>
        <c:crossAx val="148200448"/>
        <c:crosses val="autoZero"/>
        <c:crossBetween val="between"/>
      </c:valAx>
    </c:plotArea>
    <c:legend>
      <c:legendPos val="r"/>
    </c:legend>
    <c:plotVisOnly val="1"/>
    <c:dispBlanksAs val="gap"/>
  </c:chart>
  <c:printSettings>
    <c:headerFooter/>
    <c:pageMargins b="0.75000000000000855" l="0.70000000000000062" r="0.70000000000000062" t="0.750000000000008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plotArea>
      <c:layout/>
      <c:scatterChart>
        <c:scatterStyle val="lineMarker"/>
        <c:ser>
          <c:idx val="0"/>
          <c:order val="0"/>
          <c:tx>
            <c:v>upper ends</c:v>
          </c:tx>
          <c:spPr>
            <a:ln w="28575">
              <a:noFill/>
            </a:ln>
          </c:spPr>
          <c:yVal>
            <c:numRef>
              <c:f>('Solid fuels - NOx Analysis'!$G$122:$G$123,'Solid fuels - NOx Analysis'!$G$125:$G$128,'Solid fuels - NOx Analysis'!$G$130:$G$132)</c:f>
              <c:numCache>
                <c:formatCode>0.00</c:formatCode>
                <c:ptCount val="9"/>
                <c:pt idx="0">
                  <c:v>74.138896079177783</c:v>
                </c:pt>
                <c:pt idx="1">
                  <c:v>119.76283212790257</c:v>
                </c:pt>
                <c:pt idx="2">
                  <c:v>45.623936048724794</c:v>
                </c:pt>
                <c:pt idx="3">
                  <c:v>82.349423323366082</c:v>
                </c:pt>
                <c:pt idx="4">
                  <c:v>51.449159327461963</c:v>
                </c:pt>
                <c:pt idx="5">
                  <c:v>33.074459567654124</c:v>
                </c:pt>
                <c:pt idx="6">
                  <c:v>73.129200896191193</c:v>
                </c:pt>
                <c:pt idx="7">
                  <c:v>51.219883337560226</c:v>
                </c:pt>
                <c:pt idx="8">
                  <c:v>49.59927960378208</c:v>
                </c:pt>
              </c:numCache>
            </c:numRef>
          </c:yVal>
        </c:ser>
        <c:axId val="141759616"/>
        <c:axId val="141761152"/>
      </c:scatterChart>
      <c:valAx>
        <c:axId val="141759616"/>
        <c:scaling>
          <c:orientation val="minMax"/>
        </c:scaling>
        <c:axPos val="b"/>
        <c:tickLblPos val="nextTo"/>
        <c:crossAx val="141761152"/>
        <c:crosses val="autoZero"/>
        <c:crossBetween val="midCat"/>
      </c:valAx>
      <c:valAx>
        <c:axId val="141761152"/>
        <c:scaling>
          <c:orientation val="minMax"/>
        </c:scaling>
        <c:axPos val="l"/>
        <c:majorGridlines/>
        <c:title>
          <c:tx>
            <c:rich>
              <a:bodyPr rot="-5400000" vert="horz"/>
              <a:lstStyle/>
              <a:p>
                <a:pPr>
                  <a:defRPr/>
                </a:pPr>
                <a:r>
                  <a:rPr lang="en-US"/>
                  <a:t>Specific Investment [EUR/kWth, EUR 2010]</a:t>
                </a:r>
              </a:p>
            </c:rich>
          </c:tx>
        </c:title>
        <c:numFmt formatCode="0" sourceLinked="0"/>
        <c:tickLblPos val="nextTo"/>
        <c:crossAx val="141759616"/>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lower ends</a:t>
            </a:r>
          </a:p>
        </c:rich>
      </c:tx>
    </c:title>
    <c:plotArea>
      <c:layout/>
      <c:scatterChart>
        <c:scatterStyle val="lineMarker"/>
        <c:ser>
          <c:idx val="0"/>
          <c:order val="0"/>
          <c:tx>
            <c:v>low ends</c:v>
          </c:tx>
          <c:spPr>
            <a:ln w="28575">
              <a:noFill/>
            </a:ln>
          </c:spPr>
          <c:yVal>
            <c:numRef>
              <c:f>('Liquid fuels - NOx Analysis'!$F$122:$F$123,'Liquid fuels - NOx Analysis'!$F$125:$F$128,'Liquid fuels - NOx Analysis'!$F$130:$F$132)</c:f>
              <c:numCache>
                <c:formatCode>0.00</c:formatCode>
                <c:ptCount val="9"/>
                <c:pt idx="0">
                  <c:v>45.623936048724794</c:v>
                </c:pt>
                <c:pt idx="1">
                  <c:v>114.05984012181196</c:v>
                </c:pt>
                <c:pt idx="2">
                  <c:v>34.217952036543593</c:v>
                </c:pt>
                <c:pt idx="3">
                  <c:v>58.821016659547197</c:v>
                </c:pt>
                <c:pt idx="4">
                  <c:v>20.212169735788631</c:v>
                </c:pt>
                <c:pt idx="5">
                  <c:v>16.537229783827062</c:v>
                </c:pt>
                <c:pt idx="6">
                  <c:v>31.994025392083643</c:v>
                </c:pt>
                <c:pt idx="7">
                  <c:v>23.281765153436471</c:v>
                </c:pt>
                <c:pt idx="8">
                  <c:v>33.066186402521389</c:v>
                </c:pt>
              </c:numCache>
            </c:numRef>
          </c:yVal>
        </c:ser>
        <c:axId val="147190528"/>
        <c:axId val="147192064"/>
      </c:scatterChart>
      <c:valAx>
        <c:axId val="147190528"/>
        <c:scaling>
          <c:orientation val="minMax"/>
        </c:scaling>
        <c:axPos val="b"/>
        <c:tickLblPos val="nextTo"/>
        <c:crossAx val="147192064"/>
        <c:crosses val="autoZero"/>
        <c:crossBetween val="midCat"/>
      </c:valAx>
      <c:valAx>
        <c:axId val="147192064"/>
        <c:scaling>
          <c:orientation val="minMax"/>
        </c:scaling>
        <c:axPos val="l"/>
        <c:majorGridlines/>
        <c:title>
          <c:tx>
            <c:rich>
              <a:bodyPr rot="-5400000" vert="horz"/>
              <a:lstStyle/>
              <a:p>
                <a:pPr>
                  <a:defRPr/>
                </a:pPr>
                <a:r>
                  <a:rPr lang="en-US"/>
                  <a:t>Specific Investment [EUR/kWth, EUR 2010]</a:t>
                </a:r>
              </a:p>
            </c:rich>
          </c:tx>
        </c:title>
        <c:numFmt formatCode="#,##0" sourceLinked="0"/>
        <c:tickLblPos val="nextTo"/>
        <c:crossAx val="147190528"/>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plotArea>
      <c:layout/>
      <c:scatterChart>
        <c:scatterStyle val="lineMarker"/>
        <c:ser>
          <c:idx val="0"/>
          <c:order val="0"/>
          <c:tx>
            <c:v>upper ends</c:v>
          </c:tx>
          <c:spPr>
            <a:ln w="28575">
              <a:noFill/>
            </a:ln>
          </c:spPr>
          <c:yVal>
            <c:numRef>
              <c:f>('Liquid fuels - NOx Analysis'!$G$122:$G$123,'Liquid fuels - NOx Analysis'!$G$125:$G$128,'Liquid fuels - NOx Analysis'!$G$130:$G$132)</c:f>
              <c:numCache>
                <c:formatCode>0.00</c:formatCode>
                <c:ptCount val="9"/>
                <c:pt idx="0">
                  <c:v>74.138896079177783</c:v>
                </c:pt>
                <c:pt idx="1">
                  <c:v>119.76283212790257</c:v>
                </c:pt>
                <c:pt idx="2">
                  <c:v>45.623936048724794</c:v>
                </c:pt>
                <c:pt idx="3">
                  <c:v>82.349423323366082</c:v>
                </c:pt>
                <c:pt idx="4">
                  <c:v>51.449159327461963</c:v>
                </c:pt>
                <c:pt idx="5">
                  <c:v>33.074459567654124</c:v>
                </c:pt>
                <c:pt idx="6">
                  <c:v>73.129200896191193</c:v>
                </c:pt>
                <c:pt idx="7">
                  <c:v>51.219883337560226</c:v>
                </c:pt>
                <c:pt idx="8">
                  <c:v>49.59927960378208</c:v>
                </c:pt>
              </c:numCache>
            </c:numRef>
          </c:yVal>
        </c:ser>
        <c:axId val="146155392"/>
        <c:axId val="146156928"/>
      </c:scatterChart>
      <c:valAx>
        <c:axId val="146155392"/>
        <c:scaling>
          <c:orientation val="minMax"/>
        </c:scaling>
        <c:axPos val="b"/>
        <c:tickLblPos val="nextTo"/>
        <c:crossAx val="146156928"/>
        <c:crosses val="autoZero"/>
        <c:crossBetween val="midCat"/>
      </c:valAx>
      <c:valAx>
        <c:axId val="146156928"/>
        <c:scaling>
          <c:orientation val="minMax"/>
        </c:scaling>
        <c:axPos val="l"/>
        <c:majorGridlines/>
        <c:title>
          <c:tx>
            <c:rich>
              <a:bodyPr rot="-5400000" vert="horz"/>
              <a:lstStyle/>
              <a:p>
                <a:pPr>
                  <a:defRPr/>
                </a:pPr>
                <a:r>
                  <a:rPr lang="en-US"/>
                  <a:t>Specific Investment [EUR/kWth, EUR 2010]</a:t>
                </a:r>
              </a:p>
            </c:rich>
          </c:tx>
        </c:title>
        <c:numFmt formatCode="0" sourceLinked="0"/>
        <c:tickLblPos val="nextTo"/>
        <c:crossAx val="146155392"/>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lower ends</a:t>
            </a:r>
          </a:p>
        </c:rich>
      </c:tx>
    </c:title>
    <c:plotArea>
      <c:layout/>
      <c:scatterChart>
        <c:scatterStyle val="lineMarker"/>
        <c:ser>
          <c:idx val="0"/>
          <c:order val="0"/>
          <c:tx>
            <c:v>low ends</c:v>
          </c:tx>
          <c:spPr>
            <a:ln w="28575">
              <a:noFill/>
            </a:ln>
          </c:spPr>
          <c:yVal>
            <c:numRef>
              <c:f>('Natural gas - NOx Analysis'!$F$122:$F$123,'Natural gas - NOx Analysis'!$F$125:$F$128,'Natural gas - NOx Analysis'!$F$130:$F$132)</c:f>
              <c:numCache>
                <c:formatCode>0.00</c:formatCode>
                <c:ptCount val="9"/>
                <c:pt idx="0">
                  <c:v>45.623936048724794</c:v>
                </c:pt>
                <c:pt idx="1">
                  <c:v>114.05984012181196</c:v>
                </c:pt>
                <c:pt idx="2">
                  <c:v>34.217952036543593</c:v>
                </c:pt>
                <c:pt idx="3">
                  <c:v>58.821016659547197</c:v>
                </c:pt>
                <c:pt idx="4">
                  <c:v>20.212169735788631</c:v>
                </c:pt>
                <c:pt idx="5">
                  <c:v>16.537229783827062</c:v>
                </c:pt>
                <c:pt idx="6">
                  <c:v>31.994025392083643</c:v>
                </c:pt>
                <c:pt idx="7">
                  <c:v>23.281765153436471</c:v>
                </c:pt>
                <c:pt idx="8">
                  <c:v>33.066186402521389</c:v>
                </c:pt>
              </c:numCache>
            </c:numRef>
          </c:yVal>
        </c:ser>
        <c:axId val="147067648"/>
        <c:axId val="147069184"/>
      </c:scatterChart>
      <c:valAx>
        <c:axId val="147067648"/>
        <c:scaling>
          <c:orientation val="minMax"/>
        </c:scaling>
        <c:axPos val="b"/>
        <c:tickLblPos val="nextTo"/>
        <c:crossAx val="147069184"/>
        <c:crosses val="autoZero"/>
        <c:crossBetween val="midCat"/>
      </c:valAx>
      <c:valAx>
        <c:axId val="147069184"/>
        <c:scaling>
          <c:orientation val="minMax"/>
        </c:scaling>
        <c:axPos val="l"/>
        <c:majorGridlines/>
        <c:title>
          <c:tx>
            <c:rich>
              <a:bodyPr rot="-5400000" vert="horz"/>
              <a:lstStyle/>
              <a:p>
                <a:pPr>
                  <a:defRPr/>
                </a:pPr>
                <a:r>
                  <a:rPr lang="en-US"/>
                  <a:t>Specific Investment [EUR/kWth, EUR 2010]</a:t>
                </a:r>
              </a:p>
            </c:rich>
          </c:tx>
        </c:title>
        <c:numFmt formatCode="#,##0" sourceLinked="0"/>
        <c:tickLblPos val="nextTo"/>
        <c:crossAx val="147067648"/>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plotArea>
      <c:layout/>
      <c:scatterChart>
        <c:scatterStyle val="lineMarker"/>
        <c:ser>
          <c:idx val="0"/>
          <c:order val="0"/>
          <c:tx>
            <c:v>upper ends</c:v>
          </c:tx>
          <c:spPr>
            <a:ln w="28575">
              <a:noFill/>
            </a:ln>
          </c:spPr>
          <c:yVal>
            <c:numRef>
              <c:f>('Natural gas - NOx Analysis'!$G$122:$G$123,'Natural gas - NOx Analysis'!$G$125:$G$128,'Natural gas - NOx Analysis'!$G$130:$G$132)</c:f>
              <c:numCache>
                <c:formatCode>0.00</c:formatCode>
                <c:ptCount val="9"/>
                <c:pt idx="0">
                  <c:v>74.138896079177783</c:v>
                </c:pt>
                <c:pt idx="1">
                  <c:v>119.76283212790257</c:v>
                </c:pt>
                <c:pt idx="2">
                  <c:v>45.623936048724794</c:v>
                </c:pt>
                <c:pt idx="3">
                  <c:v>82.349423323366082</c:v>
                </c:pt>
                <c:pt idx="4">
                  <c:v>51.449159327461963</c:v>
                </c:pt>
                <c:pt idx="5">
                  <c:v>33.074459567654124</c:v>
                </c:pt>
                <c:pt idx="6">
                  <c:v>73.129200896191193</c:v>
                </c:pt>
                <c:pt idx="7">
                  <c:v>51.219883337560226</c:v>
                </c:pt>
                <c:pt idx="8">
                  <c:v>49.59927960378208</c:v>
                </c:pt>
              </c:numCache>
            </c:numRef>
          </c:yVal>
        </c:ser>
        <c:axId val="147097088"/>
        <c:axId val="147098624"/>
      </c:scatterChart>
      <c:valAx>
        <c:axId val="147097088"/>
        <c:scaling>
          <c:orientation val="minMax"/>
        </c:scaling>
        <c:axPos val="b"/>
        <c:tickLblPos val="nextTo"/>
        <c:crossAx val="147098624"/>
        <c:crosses val="autoZero"/>
        <c:crossBetween val="midCat"/>
      </c:valAx>
      <c:valAx>
        <c:axId val="147098624"/>
        <c:scaling>
          <c:orientation val="minMax"/>
        </c:scaling>
        <c:axPos val="l"/>
        <c:majorGridlines/>
        <c:title>
          <c:tx>
            <c:rich>
              <a:bodyPr rot="-5400000" vert="horz"/>
              <a:lstStyle/>
              <a:p>
                <a:pPr>
                  <a:defRPr/>
                </a:pPr>
                <a:r>
                  <a:rPr lang="en-US"/>
                  <a:t>Specific Investment [EUR/kWth, EUR 2010]</a:t>
                </a:r>
              </a:p>
            </c:rich>
          </c:tx>
        </c:title>
        <c:numFmt formatCode="0" sourceLinked="0"/>
        <c:tickLblPos val="nextTo"/>
        <c:crossAx val="147097088"/>
        <c:crosses val="autoZero"/>
        <c:crossBetween val="midCat"/>
      </c:valAx>
    </c:plotArea>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min</c:v>
          </c:tx>
          <c:cat>
            <c:strRef>
              <c:f>'Solid fuels_Fabric_Filter'!$C$131:$C$142</c:f>
              <c:strCache>
                <c:ptCount val="12"/>
                <c:pt idx="0">
                  <c:v>RAINS</c:v>
                </c:pt>
                <c:pt idx="1">
                  <c:v>AEP</c:v>
                </c:pt>
                <c:pt idx="2">
                  <c:v>Nalbandian [Smith]</c:v>
                </c:pt>
                <c:pt idx="3">
                  <c:v>Naldandian [Orfanoudakis]</c:v>
                </c:pt>
                <c:pt idx="4">
                  <c:v>Nalbandian</c:v>
                </c:pt>
                <c:pt idx="5">
                  <c:v>World bank</c:v>
                </c:pt>
                <c:pt idx="6">
                  <c:v>IEA</c:v>
                </c:pt>
                <c:pt idx="7">
                  <c:v>Balcke Durr</c:v>
                </c:pt>
                <c:pt idx="8">
                  <c:v>PM BART determination [American Electric Power]</c:v>
                </c:pt>
                <c:pt idx="9">
                  <c:v>Sargent et Lundy</c:v>
                </c:pt>
                <c:pt idx="10">
                  <c:v>IEA</c:v>
                </c:pt>
                <c:pt idx="11">
                  <c:v>Wu</c:v>
                </c:pt>
              </c:strCache>
            </c:strRef>
          </c:cat>
          <c:val>
            <c:numRef>
              <c:f>'Solid fuels_Fabric_Filter'!$J$131:$J$142</c:f>
              <c:numCache>
                <c:formatCode>0.00</c:formatCode>
                <c:ptCount val="12"/>
                <c:pt idx="0">
                  <c:v>16.373569549675128</c:v>
                </c:pt>
                <c:pt idx="1">
                  <c:v>19.2630229996178</c:v>
                </c:pt>
                <c:pt idx="2">
                  <c:v>18.608772368213042</c:v>
                </c:pt>
                <c:pt idx="3">
                  <c:v>21.242089212771489</c:v>
                </c:pt>
                <c:pt idx="4">
                  <c:v>21.066534756467593</c:v>
                </c:pt>
                <c:pt idx="5">
                  <c:v>22.433205415972775</c:v>
                </c:pt>
                <c:pt idx="6">
                  <c:v>25.229628323326754</c:v>
                </c:pt>
                <c:pt idx="7">
                  <c:v>18.857768508863398</c:v>
                </c:pt>
                <c:pt idx="8">
                  <c:v>38.232827088499413</c:v>
                </c:pt>
                <c:pt idx="9">
                  <c:v>18.737613951644871</c:v>
                </c:pt>
                <c:pt idx="10">
                  <c:v>7.2603367198647568</c:v>
                </c:pt>
                <c:pt idx="11">
                  <c:v>6.08028241730372</c:v>
                </c:pt>
              </c:numCache>
            </c:numRef>
          </c:val>
        </c:ser>
        <c:ser>
          <c:idx val="1"/>
          <c:order val="1"/>
          <c:tx>
            <c:v>max</c:v>
          </c:tx>
          <c:val>
            <c:numRef>
              <c:f>'Solid fuels_Fabric_Filter'!$K$131:$K$142</c:f>
              <c:numCache>
                <c:formatCode>0.00</c:formatCode>
                <c:ptCount val="12"/>
                <c:pt idx="0">
                  <c:v>16.373569549675128</c:v>
                </c:pt>
                <c:pt idx="1">
                  <c:v>19.2630229996178</c:v>
                </c:pt>
                <c:pt idx="2">
                  <c:v>28.088713008623458</c:v>
                </c:pt>
                <c:pt idx="3">
                  <c:v>21.242089212771489</c:v>
                </c:pt>
                <c:pt idx="4">
                  <c:v>21.066534756467593</c:v>
                </c:pt>
                <c:pt idx="5">
                  <c:v>22.433205415972775</c:v>
                </c:pt>
                <c:pt idx="6">
                  <c:v>35.321479652657452</c:v>
                </c:pt>
                <c:pt idx="7">
                  <c:v>20.102189781021899</c:v>
                </c:pt>
                <c:pt idx="8">
                  <c:v>38.232827088499413</c:v>
                </c:pt>
                <c:pt idx="9">
                  <c:v>25.159603080233286</c:v>
                </c:pt>
                <c:pt idx="10">
                  <c:v>68.065656748732096</c:v>
                </c:pt>
                <c:pt idx="11">
                  <c:v>25.724271765515738</c:v>
                </c:pt>
              </c:numCache>
            </c:numRef>
          </c:val>
        </c:ser>
        <c:axId val="147399424"/>
        <c:axId val="147400960"/>
      </c:barChart>
      <c:catAx>
        <c:axId val="147399424"/>
        <c:scaling>
          <c:orientation val="minMax"/>
        </c:scaling>
        <c:axPos val="b"/>
        <c:tickLblPos val="nextTo"/>
        <c:crossAx val="147400960"/>
        <c:crosses val="autoZero"/>
        <c:auto val="1"/>
        <c:lblAlgn val="ctr"/>
        <c:lblOffset val="100"/>
      </c:catAx>
      <c:valAx>
        <c:axId val="147400960"/>
        <c:scaling>
          <c:orientation val="minMax"/>
          <c:max val="70"/>
        </c:scaling>
        <c:axPos val="l"/>
        <c:majorGridlines/>
        <c:title>
          <c:tx>
            <c:rich>
              <a:bodyPr rot="-5400000" vert="horz"/>
              <a:lstStyle/>
              <a:p>
                <a:pPr>
                  <a:defRPr/>
                </a:pPr>
                <a:r>
                  <a:rPr lang="en-US"/>
                  <a:t>EURO 2010 / kWth</a:t>
                </a:r>
              </a:p>
            </c:rich>
          </c:tx>
          <c:layout/>
        </c:title>
        <c:numFmt formatCode="General" sourceLinked="0"/>
        <c:tickLblPos val="nextTo"/>
        <c:crossAx val="147399424"/>
        <c:crosses val="autoZero"/>
        <c:crossBetween val="between"/>
      </c:valAx>
    </c:plotArea>
    <c:legend>
      <c:legendPos val="r"/>
      <c:layout/>
    </c:legend>
    <c:plotVisOnly val="1"/>
    <c:dispBlanksAs val="gap"/>
  </c:chart>
  <c:printSettings>
    <c:headerFooter/>
    <c:pageMargins b="0.7500000000000081" l="0.70000000000000062" r="0.70000000000000062" t="0.750000000000008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min</c:v>
          </c:tx>
          <c:cat>
            <c:strRef>
              <c:f>'Solid fuels_ESP'!$C$94:$C$105</c:f>
              <c:strCache>
                <c:ptCount val="12"/>
                <c:pt idx="0">
                  <c:v>RAINS</c:v>
                </c:pt>
                <c:pt idx="1">
                  <c:v>AEP</c:v>
                </c:pt>
                <c:pt idx="2">
                  <c:v>Nalbandian</c:v>
                </c:pt>
                <c:pt idx="3">
                  <c:v>Naldandian [Orfanoudakis]</c:v>
                </c:pt>
                <c:pt idx="4">
                  <c:v>World bank</c:v>
                </c:pt>
                <c:pt idx="5">
                  <c:v>IEA</c:v>
                </c:pt>
                <c:pt idx="6">
                  <c:v>Balcke Durr</c:v>
                </c:pt>
                <c:pt idx="7">
                  <c:v>Questionnary Plant D</c:v>
                </c:pt>
                <c:pt idx="8">
                  <c:v>Zevenhoven &amp; Kilpinen</c:v>
                </c:pt>
                <c:pt idx="9">
                  <c:v>Rubin</c:v>
                </c:pt>
                <c:pt idx="10">
                  <c:v>Sankey</c:v>
                </c:pt>
                <c:pt idx="11">
                  <c:v>IEA</c:v>
                </c:pt>
              </c:strCache>
            </c:strRef>
          </c:cat>
          <c:val>
            <c:numRef>
              <c:f>'Solid fuels_ESP'!$J$94:$J$105</c:f>
              <c:numCache>
                <c:formatCode>0.00</c:formatCode>
                <c:ptCount val="12"/>
                <c:pt idx="0">
                  <c:v>11.90179635333528</c:v>
                </c:pt>
                <c:pt idx="1">
                  <c:v>22.014883428134624</c:v>
                </c:pt>
                <c:pt idx="2">
                  <c:v>24.82340012137098</c:v>
                </c:pt>
                <c:pt idx="3">
                  <c:v>29.844257571662425</c:v>
                </c:pt>
                <c:pt idx="4">
                  <c:v>18.071193251755844</c:v>
                </c:pt>
                <c:pt idx="5">
                  <c:v>20.183702658661403</c:v>
                </c:pt>
                <c:pt idx="6">
                  <c:v>24.696976016684047</c:v>
                </c:pt>
                <c:pt idx="7">
                  <c:v>23.330063694267515</c:v>
                </c:pt>
                <c:pt idx="8">
                  <c:v>17.278199682861448</c:v>
                </c:pt>
                <c:pt idx="9">
                  <c:v>38.319931399356058</c:v>
                </c:pt>
                <c:pt idx="10">
                  <c:v>23.856249750671051</c:v>
                </c:pt>
                <c:pt idx="11">
                  <c:v>9.9446556202590752</c:v>
                </c:pt>
              </c:numCache>
            </c:numRef>
          </c:val>
        </c:ser>
        <c:ser>
          <c:idx val="1"/>
          <c:order val="1"/>
          <c:tx>
            <c:v>max</c:v>
          </c:tx>
          <c:cat>
            <c:strRef>
              <c:f>'Solid fuels_ESP'!$C$94:$C$105</c:f>
              <c:strCache>
                <c:ptCount val="12"/>
                <c:pt idx="0">
                  <c:v>RAINS</c:v>
                </c:pt>
                <c:pt idx="1">
                  <c:v>AEP</c:v>
                </c:pt>
                <c:pt idx="2">
                  <c:v>Nalbandian</c:v>
                </c:pt>
                <c:pt idx="3">
                  <c:v>Naldandian [Orfanoudakis]</c:v>
                </c:pt>
                <c:pt idx="4">
                  <c:v>World bank</c:v>
                </c:pt>
                <c:pt idx="5">
                  <c:v>IEA</c:v>
                </c:pt>
                <c:pt idx="6">
                  <c:v>Balcke Durr</c:v>
                </c:pt>
                <c:pt idx="7">
                  <c:v>Questionnary Plant D</c:v>
                </c:pt>
                <c:pt idx="8">
                  <c:v>Zevenhoven &amp; Kilpinen</c:v>
                </c:pt>
                <c:pt idx="9">
                  <c:v>Rubin</c:v>
                </c:pt>
                <c:pt idx="10">
                  <c:v>Sankey</c:v>
                </c:pt>
                <c:pt idx="11">
                  <c:v>IEA</c:v>
                </c:pt>
              </c:strCache>
            </c:strRef>
          </c:cat>
          <c:val>
            <c:numRef>
              <c:f>'Solid fuels_ESP'!$K$94:$K$105</c:f>
              <c:numCache>
                <c:formatCode>0.00</c:formatCode>
                <c:ptCount val="12"/>
                <c:pt idx="0">
                  <c:v>11.90179635333528</c:v>
                </c:pt>
                <c:pt idx="1">
                  <c:v>24.766743856651452</c:v>
                </c:pt>
                <c:pt idx="2">
                  <c:v>24.82340012137098</c:v>
                </c:pt>
                <c:pt idx="3">
                  <c:v>29.844257571662425</c:v>
                </c:pt>
                <c:pt idx="4">
                  <c:v>20.563771631308374</c:v>
                </c:pt>
                <c:pt idx="5">
                  <c:v>30.275553987992108</c:v>
                </c:pt>
                <c:pt idx="6">
                  <c:v>40.012930135557866</c:v>
                </c:pt>
                <c:pt idx="7">
                  <c:v>23.330063694267515</c:v>
                </c:pt>
                <c:pt idx="8">
                  <c:v>17.278199682861448</c:v>
                </c:pt>
                <c:pt idx="9">
                  <c:v>38.319931399356058</c:v>
                </c:pt>
                <c:pt idx="10">
                  <c:v>23.856249750671051</c:v>
                </c:pt>
                <c:pt idx="11">
                  <c:v>33.14885206753025</c:v>
                </c:pt>
              </c:numCache>
            </c:numRef>
          </c:val>
        </c:ser>
        <c:axId val="147741696"/>
        <c:axId val="147759872"/>
      </c:barChart>
      <c:catAx>
        <c:axId val="147741696"/>
        <c:scaling>
          <c:orientation val="minMax"/>
        </c:scaling>
        <c:axPos val="b"/>
        <c:tickLblPos val="nextTo"/>
        <c:crossAx val="147759872"/>
        <c:crosses val="autoZero"/>
        <c:auto val="1"/>
        <c:lblAlgn val="ctr"/>
        <c:lblOffset val="100"/>
      </c:catAx>
      <c:valAx>
        <c:axId val="147759872"/>
        <c:scaling>
          <c:orientation val="minMax"/>
        </c:scaling>
        <c:axPos val="l"/>
        <c:majorGridlines/>
        <c:title>
          <c:tx>
            <c:rich>
              <a:bodyPr rot="-5400000" vert="horz"/>
              <a:lstStyle/>
              <a:p>
                <a:pPr>
                  <a:defRPr/>
                </a:pPr>
                <a:r>
                  <a:rPr lang="en-US"/>
                  <a:t>EURO 2010 / kWth</a:t>
                </a:r>
              </a:p>
            </c:rich>
          </c:tx>
        </c:title>
        <c:numFmt formatCode="General" sourceLinked="0"/>
        <c:tickLblPos val="nextTo"/>
        <c:crossAx val="147741696"/>
        <c:crosses val="autoZero"/>
        <c:crossBetween val="between"/>
      </c:valAx>
    </c:plotArea>
    <c:legend>
      <c:legendPos val="r"/>
    </c:legend>
    <c:plotVisOnly val="1"/>
    <c:dispBlanksAs val="gap"/>
  </c:chart>
  <c:printSettings>
    <c:headerFooter/>
    <c:pageMargins b="0.7500000000000081" l="0.70000000000000062" r="0.70000000000000062" t="0.750000000000008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min</c:v>
          </c:tx>
          <c:cat>
            <c:strRef>
              <c:f>'Liquid fuels_ESP'!$C$94:$C$105</c:f>
              <c:strCache>
                <c:ptCount val="12"/>
                <c:pt idx="0">
                  <c:v>RAINS</c:v>
                </c:pt>
                <c:pt idx="1">
                  <c:v>AEP</c:v>
                </c:pt>
                <c:pt idx="2">
                  <c:v>Nalbandian</c:v>
                </c:pt>
                <c:pt idx="3">
                  <c:v>Naldandian [Orfanoudakis]</c:v>
                </c:pt>
                <c:pt idx="4">
                  <c:v>World bank</c:v>
                </c:pt>
                <c:pt idx="5">
                  <c:v>IEA</c:v>
                </c:pt>
                <c:pt idx="6">
                  <c:v>Balcke Durr</c:v>
                </c:pt>
                <c:pt idx="7">
                  <c:v>Questionnary Plant D</c:v>
                </c:pt>
                <c:pt idx="8">
                  <c:v>Zevenhoven &amp; Kilpinen</c:v>
                </c:pt>
                <c:pt idx="9">
                  <c:v>Rubin</c:v>
                </c:pt>
                <c:pt idx="10">
                  <c:v>Sankey</c:v>
                </c:pt>
                <c:pt idx="11">
                  <c:v>IEA</c:v>
                </c:pt>
              </c:strCache>
            </c:strRef>
          </c:cat>
          <c:val>
            <c:numRef>
              <c:f>'Liquid fuels_ESP'!$J$94:$J$105</c:f>
              <c:numCache>
                <c:formatCode>0.00</c:formatCode>
                <c:ptCount val="12"/>
                <c:pt idx="0">
                  <c:v>11.90179635333528</c:v>
                </c:pt>
                <c:pt idx="1">
                  <c:v>22.014883428134624</c:v>
                </c:pt>
                <c:pt idx="2">
                  <c:v>24.82340012137098</c:v>
                </c:pt>
                <c:pt idx="3">
                  <c:v>29.844257571662425</c:v>
                </c:pt>
                <c:pt idx="4">
                  <c:v>18.071193251755844</c:v>
                </c:pt>
                <c:pt idx="5">
                  <c:v>20.183702658661403</c:v>
                </c:pt>
                <c:pt idx="6">
                  <c:v>24.696976016684047</c:v>
                </c:pt>
                <c:pt idx="7">
                  <c:v>23.330063694267515</c:v>
                </c:pt>
                <c:pt idx="8">
                  <c:v>17.278199682861448</c:v>
                </c:pt>
                <c:pt idx="9">
                  <c:v>38.319931399356058</c:v>
                </c:pt>
                <c:pt idx="10">
                  <c:v>23.856249750671051</c:v>
                </c:pt>
                <c:pt idx="11" formatCode="General">
                  <c:v>9.9446556202590752</c:v>
                </c:pt>
              </c:numCache>
            </c:numRef>
          </c:val>
        </c:ser>
        <c:ser>
          <c:idx val="1"/>
          <c:order val="1"/>
          <c:tx>
            <c:v>max</c:v>
          </c:tx>
          <c:cat>
            <c:strRef>
              <c:f>'Liquid fuels_ESP'!$C$94:$C$105</c:f>
              <c:strCache>
                <c:ptCount val="12"/>
                <c:pt idx="0">
                  <c:v>RAINS</c:v>
                </c:pt>
                <c:pt idx="1">
                  <c:v>AEP</c:v>
                </c:pt>
                <c:pt idx="2">
                  <c:v>Nalbandian</c:v>
                </c:pt>
                <c:pt idx="3">
                  <c:v>Naldandian [Orfanoudakis]</c:v>
                </c:pt>
                <c:pt idx="4">
                  <c:v>World bank</c:v>
                </c:pt>
                <c:pt idx="5">
                  <c:v>IEA</c:v>
                </c:pt>
                <c:pt idx="6">
                  <c:v>Balcke Durr</c:v>
                </c:pt>
                <c:pt idx="7">
                  <c:v>Questionnary Plant D</c:v>
                </c:pt>
                <c:pt idx="8">
                  <c:v>Zevenhoven &amp; Kilpinen</c:v>
                </c:pt>
                <c:pt idx="9">
                  <c:v>Rubin</c:v>
                </c:pt>
                <c:pt idx="10">
                  <c:v>Sankey</c:v>
                </c:pt>
                <c:pt idx="11">
                  <c:v>IEA</c:v>
                </c:pt>
              </c:strCache>
            </c:strRef>
          </c:cat>
          <c:val>
            <c:numRef>
              <c:f>'Liquid fuels_ESP'!$K$94:$K$105</c:f>
              <c:numCache>
                <c:formatCode>0.00</c:formatCode>
                <c:ptCount val="12"/>
                <c:pt idx="0">
                  <c:v>11.90179635333528</c:v>
                </c:pt>
                <c:pt idx="1">
                  <c:v>24.766743856651452</c:v>
                </c:pt>
                <c:pt idx="2">
                  <c:v>24.82340012137098</c:v>
                </c:pt>
                <c:pt idx="3">
                  <c:v>29.844257571662425</c:v>
                </c:pt>
                <c:pt idx="4">
                  <c:v>20.563771631308374</c:v>
                </c:pt>
                <c:pt idx="5">
                  <c:v>30.275553987992108</c:v>
                </c:pt>
                <c:pt idx="6">
                  <c:v>40.012930135557866</c:v>
                </c:pt>
                <c:pt idx="7">
                  <c:v>23.330063694267515</c:v>
                </c:pt>
                <c:pt idx="8">
                  <c:v>17.278199682861448</c:v>
                </c:pt>
                <c:pt idx="9">
                  <c:v>38.319931399356058</c:v>
                </c:pt>
                <c:pt idx="10">
                  <c:v>23.856249750671051</c:v>
                </c:pt>
                <c:pt idx="11" formatCode="General">
                  <c:v>33.14885206753025</c:v>
                </c:pt>
              </c:numCache>
            </c:numRef>
          </c:val>
        </c:ser>
        <c:axId val="146474496"/>
        <c:axId val="146476032"/>
      </c:barChart>
      <c:catAx>
        <c:axId val="146474496"/>
        <c:scaling>
          <c:orientation val="minMax"/>
        </c:scaling>
        <c:axPos val="b"/>
        <c:tickLblPos val="nextTo"/>
        <c:crossAx val="146476032"/>
        <c:crosses val="autoZero"/>
        <c:auto val="1"/>
        <c:lblAlgn val="ctr"/>
        <c:lblOffset val="100"/>
      </c:catAx>
      <c:valAx>
        <c:axId val="146476032"/>
        <c:scaling>
          <c:orientation val="minMax"/>
        </c:scaling>
        <c:axPos val="l"/>
        <c:majorGridlines/>
        <c:title>
          <c:tx>
            <c:rich>
              <a:bodyPr rot="-5400000" vert="horz"/>
              <a:lstStyle/>
              <a:p>
                <a:pPr>
                  <a:defRPr/>
                </a:pPr>
                <a:r>
                  <a:rPr lang="en-US"/>
                  <a:t>EURO 2010 / kWth</a:t>
                </a:r>
              </a:p>
            </c:rich>
          </c:tx>
        </c:title>
        <c:numFmt formatCode="General" sourceLinked="0"/>
        <c:tickLblPos val="nextTo"/>
        <c:crossAx val="146474496"/>
        <c:crosses val="autoZero"/>
        <c:crossBetween val="between"/>
      </c:valAx>
    </c:plotArea>
    <c:legend>
      <c:legendPos val="r"/>
    </c:legend>
    <c:plotVisOnly val="1"/>
    <c:dispBlanksAs val="gap"/>
  </c:chart>
  <c:printSettings>
    <c:headerFooter/>
    <c:pageMargins b="0.75000000000000833" l="0.70000000000000062" r="0.70000000000000062" t="0.75000000000000833" header="0.30000000000000032" footer="0.30000000000000032"/>
    <c:pageSetup/>
  </c:printSettings>
</c:chartSpace>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137459</xdr:colOff>
      <xdr:row>97</xdr:row>
      <xdr:rowOff>112061</xdr:rowOff>
    </xdr:from>
    <xdr:to>
      <xdr:col>7</xdr:col>
      <xdr:colOff>1936750</xdr:colOff>
      <xdr:row>107</xdr:row>
      <xdr:rowOff>70039</xdr:rowOff>
    </xdr:to>
    <xdr:sp macro="" textlink="">
      <xdr:nvSpPr>
        <xdr:cNvPr id="3" name="Richtungspfeil 2"/>
        <xdr:cNvSpPr/>
      </xdr:nvSpPr>
      <xdr:spPr>
        <a:xfrm>
          <a:off x="13920134" y="21933836"/>
          <a:ext cx="1799291" cy="2148728"/>
        </a:xfrm>
        <a:prstGeom prst="homePlat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800" b="1">
              <a:solidFill>
                <a:sysClr val="windowText" lastClr="000000"/>
              </a:solidFill>
            </a:rPr>
            <a:t>At current co-firing</a:t>
          </a:r>
          <a:r>
            <a:rPr lang="de-DE" sz="1800" b="1" baseline="0">
              <a:solidFill>
                <a:sysClr val="windowText" lastClr="000000"/>
              </a:solidFill>
            </a:rPr>
            <a:t> share	</a:t>
          </a:r>
          <a:endParaRPr lang="de-DE" sz="18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19050</xdr:colOff>
      <xdr:row>54</xdr:row>
      <xdr:rowOff>35861</xdr:rowOff>
    </xdr:from>
    <xdr:to>
      <xdr:col>9</xdr:col>
      <xdr:colOff>565150</xdr:colOff>
      <xdr:row>63</xdr:row>
      <xdr:rowOff>161925</xdr:rowOff>
    </xdr:to>
    <xdr:sp macro="" textlink="">
      <xdr:nvSpPr>
        <xdr:cNvPr id="2" name="Richtungspfeil 2"/>
        <xdr:cNvSpPr/>
      </xdr:nvSpPr>
      <xdr:spPr>
        <a:xfrm>
          <a:off x="12039600" y="10437161"/>
          <a:ext cx="1308100" cy="2269189"/>
        </a:xfrm>
        <a:prstGeom prst="homePlat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800" b="1">
              <a:solidFill>
                <a:sysClr val="windowText" lastClr="000000"/>
              </a:solidFill>
            </a:rPr>
            <a:t>At current co-firing</a:t>
          </a:r>
          <a:r>
            <a:rPr lang="de-DE" sz="1800" b="1" baseline="0">
              <a:solidFill>
                <a:sysClr val="windowText" lastClr="000000"/>
              </a:solidFill>
            </a:rPr>
            <a:t> share	</a:t>
          </a:r>
          <a:endParaRPr lang="de-DE" sz="18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231320</xdr:colOff>
      <xdr:row>124</xdr:row>
      <xdr:rowOff>54428</xdr:rowOff>
    </xdr:from>
    <xdr:to>
      <xdr:col>15</xdr:col>
      <xdr:colOff>149678</xdr:colOff>
      <xdr:row>143</xdr:row>
      <xdr:rowOff>13606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542925</xdr:colOff>
      <xdr:row>119</xdr:row>
      <xdr:rowOff>61912</xdr:rowOff>
    </xdr:from>
    <xdr:to>
      <xdr:col>20</xdr:col>
      <xdr:colOff>542925</xdr:colOff>
      <xdr:row>133</xdr:row>
      <xdr:rowOff>128587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552450</xdr:colOff>
      <xdr:row>119</xdr:row>
      <xdr:rowOff>61912</xdr:rowOff>
    </xdr:from>
    <xdr:to>
      <xdr:col>26</xdr:col>
      <xdr:colOff>657225</xdr:colOff>
      <xdr:row>133</xdr:row>
      <xdr:rowOff>128587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555627</xdr:colOff>
      <xdr:row>2</xdr:row>
      <xdr:rowOff>47626</xdr:rowOff>
    </xdr:from>
    <xdr:to>
      <xdr:col>28</xdr:col>
      <xdr:colOff>215082</xdr:colOff>
      <xdr:row>13</xdr:row>
      <xdr:rowOff>158750</xdr:rowOff>
    </xdr:to>
    <xdr:pic>
      <xdr:nvPicPr>
        <xdr:cNvPr id="4" name="Grafik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23929977" y="590551"/>
          <a:ext cx="5755455" cy="31876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20</xdr:col>
      <xdr:colOff>492125</xdr:colOff>
      <xdr:row>13</xdr:row>
      <xdr:rowOff>205236</xdr:rowOff>
    </xdr:from>
    <xdr:to>
      <xdr:col>28</xdr:col>
      <xdr:colOff>127000</xdr:colOff>
      <xdr:row>29</xdr:row>
      <xdr:rowOff>41782</xdr:rowOff>
    </xdr:to>
    <xdr:pic>
      <xdr:nvPicPr>
        <xdr:cNvPr id="5" name="Grafik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xmlns="" val="0"/>
            </a:ext>
          </a:extLst>
        </a:blip>
        <a:srcRect/>
        <a:stretch>
          <a:fillRect/>
        </a:stretch>
      </xdr:blipFill>
      <xdr:spPr bwMode="auto">
        <a:xfrm>
          <a:off x="23866475" y="3824736"/>
          <a:ext cx="5730875" cy="320839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542925</xdr:colOff>
      <xdr:row>119</xdr:row>
      <xdr:rowOff>61912</xdr:rowOff>
    </xdr:from>
    <xdr:to>
      <xdr:col>20</xdr:col>
      <xdr:colOff>542925</xdr:colOff>
      <xdr:row>133</xdr:row>
      <xdr:rowOff>128587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552450</xdr:colOff>
      <xdr:row>119</xdr:row>
      <xdr:rowOff>61912</xdr:rowOff>
    </xdr:from>
    <xdr:to>
      <xdr:col>26</xdr:col>
      <xdr:colOff>657225</xdr:colOff>
      <xdr:row>133</xdr:row>
      <xdr:rowOff>128587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63502</xdr:colOff>
      <xdr:row>2</xdr:row>
      <xdr:rowOff>133350</xdr:rowOff>
    </xdr:from>
    <xdr:to>
      <xdr:col>27</xdr:col>
      <xdr:colOff>484957</xdr:colOff>
      <xdr:row>13</xdr:row>
      <xdr:rowOff>180974</xdr:rowOff>
    </xdr:to>
    <xdr:pic>
      <xdr:nvPicPr>
        <xdr:cNvPr id="4" name="Grafik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23180677" y="676275"/>
          <a:ext cx="5755455" cy="31241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20</xdr:col>
      <xdr:colOff>0</xdr:colOff>
      <xdr:row>13</xdr:row>
      <xdr:rowOff>227460</xdr:rowOff>
    </xdr:from>
    <xdr:to>
      <xdr:col>27</xdr:col>
      <xdr:colOff>396875</xdr:colOff>
      <xdr:row>29</xdr:row>
      <xdr:rowOff>22731</xdr:rowOff>
    </xdr:to>
    <xdr:pic>
      <xdr:nvPicPr>
        <xdr:cNvPr id="5" name="Grafik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xmlns="" val="0"/>
            </a:ext>
          </a:extLst>
        </a:blip>
        <a:srcRect/>
        <a:stretch>
          <a:fillRect/>
        </a:stretch>
      </xdr:blipFill>
      <xdr:spPr bwMode="auto">
        <a:xfrm>
          <a:off x="23117175" y="3846960"/>
          <a:ext cx="5730875" cy="316712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542925</xdr:colOff>
      <xdr:row>119</xdr:row>
      <xdr:rowOff>61912</xdr:rowOff>
    </xdr:from>
    <xdr:to>
      <xdr:col>20</xdr:col>
      <xdr:colOff>542925</xdr:colOff>
      <xdr:row>133</xdr:row>
      <xdr:rowOff>128587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552450</xdr:colOff>
      <xdr:row>119</xdr:row>
      <xdr:rowOff>61912</xdr:rowOff>
    </xdr:from>
    <xdr:to>
      <xdr:col>26</xdr:col>
      <xdr:colOff>657225</xdr:colOff>
      <xdr:row>133</xdr:row>
      <xdr:rowOff>128587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20</xdr:col>
      <xdr:colOff>63502</xdr:colOff>
      <xdr:row>2</xdr:row>
      <xdr:rowOff>31750</xdr:rowOff>
    </xdr:from>
    <xdr:ext cx="5755455" cy="3190874"/>
    <xdr:pic>
      <xdr:nvPicPr>
        <xdr:cNvPr id="4" name="Grafik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15303502" y="412750"/>
          <a:ext cx="5755455" cy="319087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20</xdr:col>
      <xdr:colOff>0</xdr:colOff>
      <xdr:row>13</xdr:row>
      <xdr:rowOff>189360</xdr:rowOff>
    </xdr:from>
    <xdr:ext cx="5730875" cy="3228504"/>
    <xdr:pic>
      <xdr:nvPicPr>
        <xdr:cNvPr id="5" name="Grafik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xmlns="" val="0"/>
            </a:ext>
          </a:extLst>
        </a:blip>
        <a:srcRect/>
        <a:stretch>
          <a:fillRect/>
        </a:stretch>
      </xdr:blipFill>
      <xdr:spPr bwMode="auto">
        <a:xfrm>
          <a:off x="15240000" y="2665860"/>
          <a:ext cx="5730875" cy="3228504"/>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12</xdr:col>
      <xdr:colOff>231320</xdr:colOff>
      <xdr:row>124</xdr:row>
      <xdr:rowOff>54428</xdr:rowOff>
    </xdr:from>
    <xdr:to>
      <xdr:col>15</xdr:col>
      <xdr:colOff>149678</xdr:colOff>
      <xdr:row>143</xdr:row>
      <xdr:rowOff>13606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13608</xdr:colOff>
      <xdr:row>90</xdr:row>
      <xdr:rowOff>108856</xdr:rowOff>
    </xdr:from>
    <xdr:to>
      <xdr:col>15</xdr:col>
      <xdr:colOff>1768929</xdr:colOff>
      <xdr:row>104</xdr:row>
      <xdr:rowOff>149678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13608</xdr:colOff>
      <xdr:row>90</xdr:row>
      <xdr:rowOff>108856</xdr:rowOff>
    </xdr:from>
    <xdr:to>
      <xdr:col>15</xdr:col>
      <xdr:colOff>1768929</xdr:colOff>
      <xdr:row>104</xdr:row>
      <xdr:rowOff>149678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19050</xdr:colOff>
      <xdr:row>54</xdr:row>
      <xdr:rowOff>35861</xdr:rowOff>
    </xdr:from>
    <xdr:to>
      <xdr:col>9</xdr:col>
      <xdr:colOff>565150</xdr:colOff>
      <xdr:row>63</xdr:row>
      <xdr:rowOff>161925</xdr:rowOff>
    </xdr:to>
    <xdr:sp macro="" textlink="">
      <xdr:nvSpPr>
        <xdr:cNvPr id="2" name="Richtungspfeil 2"/>
        <xdr:cNvSpPr/>
      </xdr:nvSpPr>
      <xdr:spPr>
        <a:xfrm>
          <a:off x="12039600" y="8246411"/>
          <a:ext cx="1308100" cy="2269189"/>
        </a:xfrm>
        <a:prstGeom prst="homePlat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800" b="1">
              <a:solidFill>
                <a:sysClr val="windowText" lastClr="000000"/>
              </a:solidFill>
            </a:rPr>
            <a:t>At current co-firing</a:t>
          </a:r>
          <a:r>
            <a:rPr lang="de-DE" sz="1800" b="1" baseline="0">
              <a:solidFill>
                <a:sysClr val="windowText" lastClr="000000"/>
              </a:solidFill>
            </a:rPr>
            <a:t> share	</a:t>
          </a:r>
          <a:endParaRPr lang="de-DE" sz="18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231320</xdr:colOff>
      <xdr:row>124</xdr:row>
      <xdr:rowOff>54428</xdr:rowOff>
    </xdr:from>
    <xdr:to>
      <xdr:col>15</xdr:col>
      <xdr:colOff>149678</xdr:colOff>
      <xdr:row>143</xdr:row>
      <xdr:rowOff>13606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ITEPA\etudes\1165_EGTEI-X\1-En%20chantier\Outil%20EXCEL\NEW%20EGTEI%20Cost%20Calculation%20Sheet-24-01-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lanation"/>
      <sheetName val="Solid fuels - emission calc."/>
      <sheetName val="Liquid fuels - emission calc."/>
      <sheetName val="Natural gas - emission calc."/>
      <sheetName val="Solid fuels - NOx Analysis"/>
      <sheetName val="Liquid fuels - NOx Analysis"/>
      <sheetName val="Natural gas - NOx Analysis"/>
      <sheetName val="Solid fuels_Fabric_Filter"/>
      <sheetName val="Solid fuels_ESP"/>
      <sheetName val="Liquid fuels_ESP"/>
      <sheetName val="Solid fuels_DeSO2 "/>
      <sheetName val="Solid fuel_Fabric_Filter DSI "/>
      <sheetName val="Liquid fuels_DeSO2"/>
      <sheetName val="Liquid fuel_Fabric_Filter DSI"/>
      <sheetName val="SUI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C13" t="str">
            <v>Method for A ECP determination</v>
          </cell>
          <cell r="D13">
            <v>0</v>
          </cell>
          <cell r="E13">
            <v>0</v>
          </cell>
        </row>
        <row r="14">
          <cell r="C14" t="str">
            <v>Back corona</v>
          </cell>
          <cell r="D14" t="str">
            <v>N</v>
          </cell>
          <cell r="E14" t="str">
            <v>Y/N</v>
          </cell>
        </row>
        <row r="15">
          <cell r="C15" t="str">
            <v>Temperature [T]</v>
          </cell>
          <cell r="D15">
            <v>400</v>
          </cell>
          <cell r="E15" t="str">
            <v>K</v>
          </cell>
        </row>
        <row r="16">
          <cell r="C16" t="str">
            <v>Mass mean Diameter [MMDin]</v>
          </cell>
          <cell r="D16">
            <v>20</v>
          </cell>
          <cell r="E16" t="str">
            <v>µm</v>
          </cell>
        </row>
        <row r="17">
          <cell r="C17" t="str">
            <v>Design penetration</v>
          </cell>
          <cell r="D17">
            <v>1.2151807667550862E-3</v>
          </cell>
          <cell r="E17">
            <v>0</v>
          </cell>
        </row>
        <row r="18">
          <cell r="C18" t="str">
            <v>Gas viscosity [μG]</v>
          </cell>
          <cell r="D18">
            <v>2.2558777530520898E-5</v>
          </cell>
          <cell r="E18" t="str">
            <v>kg/m/s</v>
          </cell>
        </row>
        <row r="19">
          <cell r="C19" t="str">
            <v>Electric field at sparking [Ebd]</v>
          </cell>
          <cell r="D19">
            <v>335436.20144866005</v>
          </cell>
          <cell r="E19" t="str">
            <v>V/m</v>
          </cell>
        </row>
        <row r="20">
          <cell r="C20" t="str">
            <v>E avg</v>
          </cell>
          <cell r="D20">
            <v>191677.82939923432</v>
          </cell>
          <cell r="E20" t="str">
            <v>V/m</v>
          </cell>
        </row>
        <row r="21">
          <cell r="C21" t="str">
            <v>n</v>
          </cell>
          <cell r="D21">
            <v>5</v>
          </cell>
          <cell r="E21">
            <v>0</v>
          </cell>
        </row>
        <row r="22">
          <cell r="C22" t="str">
            <v>Average section penetration [ps]</v>
          </cell>
          <cell r="D22">
            <v>0.26117293971654831</v>
          </cell>
          <cell r="E22">
            <v>0</v>
          </cell>
        </row>
        <row r="23">
          <cell r="C23" t="str">
            <v>Section collection penetration [pc]</v>
          </cell>
          <cell r="D23">
            <v>7.6235233454048881E-2</v>
          </cell>
          <cell r="E23">
            <v>0</v>
          </cell>
        </row>
        <row r="24">
          <cell r="C24" t="str">
            <v>D</v>
          </cell>
          <cell r="D24">
            <v>0.26117293971654831</v>
          </cell>
          <cell r="E24">
            <v>0</v>
          </cell>
        </row>
        <row r="25">
          <cell r="C25" t="str">
            <v>MMDrp</v>
          </cell>
          <cell r="D25">
            <v>2.3025772259334509</v>
          </cell>
          <cell r="E25" t="str">
            <v>µm</v>
          </cell>
        </row>
        <row r="26">
          <cell r="C26" t="str">
            <v>[SCA]</v>
          </cell>
          <cell r="D26">
            <v>136.73371173306742</v>
          </cell>
          <cell r="E26" t="str">
            <v>s/m</v>
          </cell>
        </row>
        <row r="27">
          <cell r="C27" t="str">
            <v>dry flue gas volume per second [vflue gasλ,dry,sec]</v>
          </cell>
          <cell r="D27">
            <v>414.06720716502139</v>
          </cell>
          <cell r="E27" t="str">
            <v>Nm³ Flue Gas,dry,λ /sec</v>
          </cell>
        </row>
        <row r="28">
          <cell r="C28" t="str">
            <v>Effective Collecting Plate Area [AECP]</v>
          </cell>
          <cell r="D28">
            <v>56616.946142618333</v>
          </cell>
          <cell r="E28" t="str">
            <v>m2</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dimension ref="A3:J48"/>
  <sheetViews>
    <sheetView workbookViewId="0"/>
  </sheetViews>
  <sheetFormatPr baseColWidth="10" defaultRowHeight="14.25"/>
  <cols>
    <col min="1" max="4" width="11.42578125" style="71"/>
    <col min="5" max="5" width="13.7109375" style="71" customWidth="1"/>
    <col min="6" max="16384" width="11.42578125" style="71"/>
  </cols>
  <sheetData>
    <row r="3" spans="1:7" ht="15">
      <c r="A3" s="677" t="s">
        <v>179</v>
      </c>
      <c r="B3" s="88"/>
    </row>
    <row r="4" spans="1:7">
      <c r="A4" s="678" t="s">
        <v>181</v>
      </c>
    </row>
    <row r="5" spans="1:7">
      <c r="A5" s="679" t="s">
        <v>180</v>
      </c>
    </row>
    <row r="7" spans="1:7" ht="15">
      <c r="A7" s="676" t="s">
        <v>1112</v>
      </c>
      <c r="G7" s="676" t="s">
        <v>1140</v>
      </c>
    </row>
    <row r="8" spans="1:7">
      <c r="A8" s="71" t="s">
        <v>1113</v>
      </c>
      <c r="G8" s="71" t="s">
        <v>1115</v>
      </c>
    </row>
    <row r="9" spans="1:7">
      <c r="A9" s="71" t="s">
        <v>1117</v>
      </c>
      <c r="G9" s="71" t="s">
        <v>1114</v>
      </c>
    </row>
    <row r="10" spans="1:7">
      <c r="A10" s="71" t="s">
        <v>1118</v>
      </c>
      <c r="G10" s="71" t="s">
        <v>1116</v>
      </c>
    </row>
    <row r="12" spans="1:7" ht="15">
      <c r="A12" s="676" t="s">
        <v>1119</v>
      </c>
      <c r="G12" s="676" t="s">
        <v>1148</v>
      </c>
    </row>
    <row r="13" spans="1:7" ht="15">
      <c r="A13" s="676"/>
      <c r="G13" s="676" t="s">
        <v>1141</v>
      </c>
    </row>
    <row r="14" spans="1:7">
      <c r="A14" s="71" t="s">
        <v>1130</v>
      </c>
      <c r="G14" s="71" t="s">
        <v>1120</v>
      </c>
    </row>
    <row r="15" spans="1:7">
      <c r="A15" s="71" t="s">
        <v>1121</v>
      </c>
      <c r="G15" s="71" t="s">
        <v>1123</v>
      </c>
    </row>
    <row r="16" spans="1:7">
      <c r="A16" s="71" t="s">
        <v>1122</v>
      </c>
      <c r="G16" s="71" t="s">
        <v>1124</v>
      </c>
    </row>
    <row r="18" spans="1:10">
      <c r="A18" s="71" t="s">
        <v>1131</v>
      </c>
      <c r="G18" s="71" t="s">
        <v>1126</v>
      </c>
    </row>
    <row r="19" spans="1:10">
      <c r="A19" s="71" t="s">
        <v>1129</v>
      </c>
      <c r="G19" s="71" t="s">
        <v>1127</v>
      </c>
    </row>
    <row r="20" spans="1:10">
      <c r="A20" s="71" t="s">
        <v>1125</v>
      </c>
      <c r="G20" s="71" t="s">
        <v>1128</v>
      </c>
    </row>
    <row r="22" spans="1:10">
      <c r="A22" s="71" t="s">
        <v>1132</v>
      </c>
      <c r="G22" s="71" t="s">
        <v>1134</v>
      </c>
    </row>
    <row r="23" spans="1:10">
      <c r="A23" s="71" t="s">
        <v>1133</v>
      </c>
      <c r="G23" s="71" t="s">
        <v>1135</v>
      </c>
    </row>
    <row r="24" spans="1:10">
      <c r="A24" s="71" t="s">
        <v>1136</v>
      </c>
      <c r="G24" s="71" t="s">
        <v>1138</v>
      </c>
    </row>
    <row r="25" spans="1:10">
      <c r="A25" s="71" t="s">
        <v>1137</v>
      </c>
      <c r="G25" s="71" t="s">
        <v>1139</v>
      </c>
    </row>
    <row r="27" spans="1:10" ht="15">
      <c r="A27" s="676" t="s">
        <v>1142</v>
      </c>
    </row>
    <row r="28" spans="1:10" ht="15">
      <c r="A28" s="676" t="s">
        <v>1150</v>
      </c>
    </row>
    <row r="29" spans="1:10">
      <c r="A29" s="680" t="s">
        <v>1145</v>
      </c>
    </row>
    <row r="30" spans="1:10" ht="15">
      <c r="A30" s="1017" t="s">
        <v>1151</v>
      </c>
      <c r="B30" s="1018"/>
      <c r="C30" s="1018"/>
      <c r="D30" s="1018"/>
      <c r="E30" s="1019"/>
      <c r="F30" s="1017" t="s">
        <v>1152</v>
      </c>
      <c r="G30" s="1018"/>
      <c r="H30" s="1018"/>
      <c r="I30" s="1018"/>
      <c r="J30" s="1019"/>
    </row>
    <row r="31" spans="1:10" ht="19.5" customHeight="1">
      <c r="A31" s="1008" t="s">
        <v>365</v>
      </c>
      <c r="B31" s="1009"/>
      <c r="C31" s="1009"/>
      <c r="D31" s="1009"/>
      <c r="E31" s="1009"/>
      <c r="F31" s="1009"/>
      <c r="G31" s="1009"/>
      <c r="H31" s="1009"/>
      <c r="I31" s="1009"/>
      <c r="J31" s="1010"/>
    </row>
    <row r="32" spans="1:10" ht="16.5">
      <c r="A32" s="1011" t="s">
        <v>397</v>
      </c>
      <c r="B32" s="1012"/>
      <c r="C32" s="1012"/>
      <c r="D32" s="1012"/>
      <c r="E32" s="1012"/>
      <c r="F32" s="1012"/>
      <c r="G32" s="1012"/>
      <c r="H32" s="1012"/>
      <c r="I32" s="1012"/>
      <c r="J32" s="1013"/>
    </row>
    <row r="33" spans="1:10" ht="18.75">
      <c r="A33" s="1011" t="s">
        <v>408</v>
      </c>
      <c r="B33" s="1012"/>
      <c r="C33" s="1012"/>
      <c r="D33" s="1012"/>
      <c r="E33" s="1012"/>
      <c r="F33" s="1012"/>
      <c r="G33" s="1012"/>
      <c r="H33" s="1012"/>
      <c r="I33" s="1012"/>
      <c r="J33" s="1013"/>
    </row>
    <row r="34" spans="1:10">
      <c r="A34" s="1014" t="s">
        <v>1156</v>
      </c>
      <c r="B34" s="1015"/>
      <c r="C34" s="1015"/>
      <c r="D34" s="1015"/>
      <c r="E34" s="1016"/>
      <c r="F34" s="1014"/>
      <c r="G34" s="1015"/>
      <c r="H34" s="1015"/>
      <c r="I34" s="1015"/>
      <c r="J34" s="1016"/>
    </row>
    <row r="35" spans="1:10">
      <c r="A35" s="1014" t="s">
        <v>1143</v>
      </c>
      <c r="B35" s="1015"/>
      <c r="C35" s="1015"/>
      <c r="D35" s="1015"/>
      <c r="E35" s="1015"/>
      <c r="F35" s="1015"/>
      <c r="G35" s="1015"/>
      <c r="H35" s="1015"/>
      <c r="I35" s="1015"/>
      <c r="J35" s="1016"/>
    </row>
    <row r="36" spans="1:10">
      <c r="A36" s="1014" t="s">
        <v>331</v>
      </c>
      <c r="B36" s="1015"/>
      <c r="C36" s="1015"/>
      <c r="D36" s="1015"/>
      <c r="E36" s="1015"/>
      <c r="F36" s="1015"/>
      <c r="G36" s="1015"/>
      <c r="H36" s="1015"/>
      <c r="I36" s="1015"/>
      <c r="J36" s="1016"/>
    </row>
    <row r="37" spans="1:10">
      <c r="A37" s="1014" t="s">
        <v>1144</v>
      </c>
      <c r="B37" s="1015"/>
      <c r="C37" s="1015"/>
      <c r="D37" s="1015"/>
      <c r="E37" s="1015"/>
      <c r="F37" s="1015"/>
      <c r="G37" s="1015"/>
      <c r="H37" s="1015"/>
      <c r="I37" s="1015"/>
      <c r="J37" s="1016"/>
    </row>
    <row r="38" spans="1:10">
      <c r="A38" s="1014" t="s">
        <v>1149</v>
      </c>
      <c r="B38" s="1015"/>
      <c r="C38" s="1015"/>
      <c r="D38" s="1015"/>
      <c r="E38" s="1015"/>
      <c r="F38" s="1015"/>
      <c r="G38" s="1015"/>
      <c r="H38" s="1015"/>
      <c r="I38" s="1015"/>
      <c r="J38" s="1016"/>
    </row>
    <row r="39" spans="1:10">
      <c r="A39" s="1014" t="s">
        <v>1149</v>
      </c>
      <c r="B39" s="1015"/>
      <c r="C39" s="1015"/>
      <c r="D39" s="1015"/>
      <c r="E39" s="1015"/>
      <c r="F39" s="1015"/>
      <c r="G39" s="1015"/>
      <c r="H39" s="1015"/>
      <c r="I39" s="1015"/>
      <c r="J39" s="1016"/>
    </row>
    <row r="40" spans="1:10">
      <c r="A40" s="1006" t="s">
        <v>1146</v>
      </c>
      <c r="B40" s="1006"/>
      <c r="C40" s="1006"/>
      <c r="D40" s="1006"/>
      <c r="E40" s="1006"/>
      <c r="F40" s="1006"/>
      <c r="G40" s="1006"/>
      <c r="H40" s="1006"/>
      <c r="I40" s="1006"/>
      <c r="J40" s="1006"/>
    </row>
    <row r="41" spans="1:10">
      <c r="A41" s="1006" t="s">
        <v>1147</v>
      </c>
      <c r="B41" s="1006"/>
      <c r="C41" s="1006"/>
      <c r="D41" s="1006"/>
      <c r="E41" s="1006"/>
      <c r="F41" s="1006"/>
      <c r="G41" s="1006"/>
      <c r="H41" s="1006"/>
      <c r="I41" s="1006"/>
      <c r="J41" s="1006"/>
    </row>
    <row r="42" spans="1:10">
      <c r="A42" s="1007" t="s">
        <v>242</v>
      </c>
      <c r="B42" s="1007"/>
      <c r="C42" s="1007"/>
      <c r="D42" s="1007"/>
      <c r="E42" s="1007"/>
      <c r="F42" s="1007"/>
      <c r="G42" s="1007"/>
      <c r="H42" s="1007"/>
      <c r="I42" s="1007"/>
      <c r="J42" s="1007"/>
    </row>
    <row r="43" spans="1:10">
      <c r="A43" s="1007" t="s">
        <v>521</v>
      </c>
      <c r="B43" s="1007"/>
      <c r="C43" s="1007"/>
      <c r="D43" s="1007"/>
      <c r="E43" s="1007"/>
      <c r="F43" s="1007"/>
      <c r="G43" s="1007"/>
      <c r="H43" s="1007"/>
      <c r="I43" s="1007"/>
      <c r="J43" s="1007"/>
    </row>
    <row r="45" spans="1:10" ht="15">
      <c r="A45" s="676" t="s">
        <v>1153</v>
      </c>
    </row>
    <row r="46" spans="1:10">
      <c r="A46" s="71" t="s">
        <v>1162</v>
      </c>
    </row>
    <row r="47" spans="1:10">
      <c r="A47" s="71" t="s">
        <v>1155</v>
      </c>
    </row>
    <row r="48" spans="1:10">
      <c r="A48" s="71" t="s">
        <v>1154</v>
      </c>
    </row>
  </sheetData>
  <mergeCells count="16">
    <mergeCell ref="F30:J30"/>
    <mergeCell ref="A30:E30"/>
    <mergeCell ref="A34:E34"/>
    <mergeCell ref="F34:J34"/>
    <mergeCell ref="A39:J39"/>
    <mergeCell ref="A36:J36"/>
    <mergeCell ref="A40:J40"/>
    <mergeCell ref="A41:J41"/>
    <mergeCell ref="A42:J42"/>
    <mergeCell ref="A43:J43"/>
    <mergeCell ref="A31:J31"/>
    <mergeCell ref="A32:J32"/>
    <mergeCell ref="A33:J33"/>
    <mergeCell ref="A35:J35"/>
    <mergeCell ref="A37:J37"/>
    <mergeCell ref="A38:J3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2:V105"/>
  <sheetViews>
    <sheetView workbookViewId="0"/>
  </sheetViews>
  <sheetFormatPr baseColWidth="10" defaultRowHeight="15"/>
  <cols>
    <col min="1" max="2" width="11.42578125" style="564"/>
    <col min="3" max="3" width="41.140625" style="564" customWidth="1"/>
    <col min="4" max="4" width="29.5703125" style="564" customWidth="1"/>
    <col min="5" max="5" width="15.7109375" style="564" customWidth="1"/>
    <col min="6" max="6" width="11.42578125" style="564"/>
    <col min="7" max="7" width="20.140625" style="564" bestFit="1" customWidth="1"/>
    <col min="8" max="8" width="8" style="564" bestFit="1" customWidth="1"/>
    <col min="9" max="14" width="11.42578125" style="564"/>
    <col min="15" max="15" width="30.85546875" style="564" customWidth="1"/>
    <col min="16" max="16" width="35.42578125" style="564" customWidth="1"/>
    <col min="17" max="17" width="35.140625" style="564" customWidth="1"/>
    <col min="18" max="18" width="25.28515625" style="564" customWidth="1"/>
    <col min="19" max="21" width="20" style="564" customWidth="1"/>
    <col min="22" max="23" width="11.42578125" style="564"/>
    <col min="24" max="24" width="20" style="564" bestFit="1" customWidth="1"/>
    <col min="25" max="16384" width="11.42578125" style="564"/>
  </cols>
  <sheetData>
    <row r="2" spans="1:22" ht="27.75">
      <c r="A2" s="75"/>
      <c r="B2" s="75"/>
      <c r="C2" s="206" t="s">
        <v>425</v>
      </c>
      <c r="D2" s="140"/>
      <c r="E2" s="140"/>
      <c r="F2" s="140"/>
      <c r="G2" s="140"/>
      <c r="H2" s="140"/>
      <c r="I2" s="140"/>
      <c r="J2" s="140"/>
      <c r="K2" s="140"/>
      <c r="L2" s="140"/>
      <c r="M2" s="140"/>
      <c r="N2" s="206" t="s">
        <v>450</v>
      </c>
      <c r="O2" s="140"/>
      <c r="P2" s="140"/>
      <c r="Q2" s="140"/>
      <c r="R2" s="75"/>
      <c r="S2" s="76"/>
      <c r="T2" s="75"/>
      <c r="U2" s="75"/>
      <c r="V2" s="75"/>
    </row>
    <row r="3" spans="1:22" ht="15.75" thickBot="1"/>
    <row r="4" spans="1:22" ht="15.75" thickBot="1">
      <c r="C4" s="602" t="s">
        <v>991</v>
      </c>
      <c r="D4" s="603"/>
      <c r="E4" s="301"/>
    </row>
    <row r="5" spans="1:22">
      <c r="C5" s="80" t="s">
        <v>830</v>
      </c>
      <c r="D5" s="600">
        <v>-1</v>
      </c>
      <c r="E5" s="609" t="s">
        <v>831</v>
      </c>
      <c r="O5" s="1050" t="s">
        <v>992</v>
      </c>
      <c r="P5" s="1051"/>
      <c r="Q5" s="601"/>
    </row>
    <row r="6" spans="1:22" ht="15.75" thickBot="1">
      <c r="C6" s="86" t="s">
        <v>833</v>
      </c>
      <c r="D6" s="604">
        <v>4</v>
      </c>
      <c r="E6" s="610" t="s">
        <v>831</v>
      </c>
      <c r="O6" s="80" t="s">
        <v>983</v>
      </c>
      <c r="P6" s="402"/>
      <c r="Q6" s="608"/>
      <c r="R6" s="547" t="s">
        <v>989</v>
      </c>
    </row>
    <row r="7" spans="1:22" ht="15.75" thickBot="1">
      <c r="O7" s="605" t="s">
        <v>984</v>
      </c>
      <c r="P7" s="402"/>
      <c r="Q7" s="433"/>
    </row>
    <row r="8" spans="1:22" ht="15.75" thickBot="1">
      <c r="C8" s="1050" t="s">
        <v>1175</v>
      </c>
      <c r="D8" s="1051"/>
      <c r="E8" s="1052"/>
      <c r="O8" s="86"/>
      <c r="P8" s="4"/>
      <c r="Q8" s="432"/>
    </row>
    <row r="9" spans="1:22">
      <c r="C9" s="705" t="s">
        <v>1110</v>
      </c>
      <c r="D9" s="706">
        <v>20</v>
      </c>
      <c r="E9" s="707" t="s">
        <v>994</v>
      </c>
    </row>
    <row r="10" spans="1:22">
      <c r="C10" s="158" t="s">
        <v>274</v>
      </c>
      <c r="D10" s="144">
        <f>(1-D9/'Liquid fuels - emission calc.'!D93)*100</f>
        <v>75.359434343434344</v>
      </c>
      <c r="E10" s="619" t="s">
        <v>87</v>
      </c>
    </row>
    <row r="11" spans="1:22" ht="15.75" thickBot="1">
      <c r="C11" s="86" t="s">
        <v>1036</v>
      </c>
      <c r="D11" s="618">
        <f>+'Liquid fuels - emission calc.'!D93</f>
        <v>81.166967831644953</v>
      </c>
      <c r="E11" s="620" t="s">
        <v>1111</v>
      </c>
    </row>
    <row r="12" spans="1:22" ht="15.75" thickBot="1">
      <c r="C12" s="71"/>
      <c r="D12" s="71"/>
      <c r="E12" s="71"/>
      <c r="G12" s="349"/>
      <c r="J12" s="359"/>
    </row>
    <row r="13" spans="1:22" ht="15.75" thickBot="1">
      <c r="C13" s="1050" t="s">
        <v>708</v>
      </c>
      <c r="D13" s="1152"/>
      <c r="E13" s="1153"/>
    </row>
    <row r="14" spans="1:22" ht="15.75" thickBot="1">
      <c r="C14" s="1" t="s">
        <v>426</v>
      </c>
      <c r="D14" s="358" t="s">
        <v>95</v>
      </c>
      <c r="E14" s="433" t="s">
        <v>85</v>
      </c>
      <c r="O14" s="1159" t="s">
        <v>707</v>
      </c>
      <c r="P14" s="1163"/>
      <c r="Q14" s="1163"/>
      <c r="R14" s="1160"/>
    </row>
    <row r="15" spans="1:22">
      <c r="C15" s="1" t="s">
        <v>429</v>
      </c>
      <c r="D15" s="358">
        <v>430</v>
      </c>
      <c r="E15" s="433" t="s">
        <v>430</v>
      </c>
      <c r="O15" s="367" t="s">
        <v>265</v>
      </c>
      <c r="P15" s="368" t="s">
        <v>266</v>
      </c>
      <c r="Q15" s="368" t="s">
        <v>145</v>
      </c>
      <c r="R15" s="369" t="s">
        <v>436</v>
      </c>
      <c r="S15" s="568" t="s">
        <v>741</v>
      </c>
    </row>
    <row r="16" spans="1:22">
      <c r="C16" s="1" t="s">
        <v>444</v>
      </c>
      <c r="D16" s="361">
        <v>30</v>
      </c>
      <c r="E16" s="433" t="s">
        <v>431</v>
      </c>
      <c r="O16" s="406" t="s">
        <v>429</v>
      </c>
      <c r="P16" s="402" t="s">
        <v>503</v>
      </c>
      <c r="Q16" s="402" t="s">
        <v>430</v>
      </c>
      <c r="R16" s="433"/>
    </row>
    <row r="17" spans="1:22">
      <c r="C17" s="1" t="s">
        <v>410</v>
      </c>
      <c r="D17" s="378">
        <f>1-D10/100</f>
        <v>0.24640565656565661</v>
      </c>
      <c r="E17" s="379"/>
      <c r="O17" s="406" t="s">
        <v>444</v>
      </c>
      <c r="P17" s="578" t="s">
        <v>501</v>
      </c>
      <c r="Q17" s="402" t="s">
        <v>431</v>
      </c>
      <c r="R17" s="433"/>
    </row>
    <row r="18" spans="1:22" ht="18.75" thickBot="1">
      <c r="C18" s="1" t="s">
        <v>434</v>
      </c>
      <c r="D18" s="380">
        <f>0.0000172*(D15/273)^0.71</f>
        <v>2.3747372847298427E-5</v>
      </c>
      <c r="E18" s="433" t="s">
        <v>432</v>
      </c>
      <c r="O18" s="411" t="s">
        <v>437</v>
      </c>
      <c r="P18" s="412">
        <v>7.0000000000000007E-2</v>
      </c>
      <c r="Q18" s="402"/>
      <c r="R18" s="433"/>
    </row>
    <row r="19" spans="1:22">
      <c r="C19" s="1" t="s">
        <v>433</v>
      </c>
      <c r="D19" s="380">
        <f>630000*(273/D15)^1.65</f>
        <v>297704.88800157723</v>
      </c>
      <c r="E19" s="379" t="s">
        <v>435</v>
      </c>
      <c r="G19" s="374" t="s">
        <v>141</v>
      </c>
      <c r="H19" s="375" t="s">
        <v>411</v>
      </c>
      <c r="I19" s="376" t="s">
        <v>412</v>
      </c>
      <c r="O19" s="411" t="s">
        <v>438</v>
      </c>
      <c r="P19" s="412">
        <v>0.14000000000000001</v>
      </c>
      <c r="Q19" s="402"/>
      <c r="R19" s="433"/>
    </row>
    <row r="20" spans="1:22">
      <c r="C20" s="381" t="s">
        <v>413</v>
      </c>
      <c r="D20" s="380">
        <f>IF(D14="Y",0.7*D19/1.75,D19/1.75)</f>
        <v>170117.07885804414</v>
      </c>
      <c r="E20" s="379" t="s">
        <v>435</v>
      </c>
      <c r="G20" s="370">
        <v>1</v>
      </c>
      <c r="H20" s="527">
        <f>D16</f>
        <v>30</v>
      </c>
      <c r="I20" s="528">
        <f>-($D$18/$P$22)*(1-$P$18)*LN($D$23)/(H20*0.000001*$D$20^2)</f>
        <v>8.2001223972096433</v>
      </c>
      <c r="O20" s="411" t="s">
        <v>439</v>
      </c>
      <c r="P20" s="412">
        <v>2</v>
      </c>
      <c r="Q20" s="402" t="s">
        <v>431</v>
      </c>
      <c r="R20" s="433"/>
    </row>
    <row r="21" spans="1:22">
      <c r="C21" s="381" t="s">
        <v>141</v>
      </c>
      <c r="D21" s="360">
        <f>INT(LN(D17)/LN(P23))+1</f>
        <v>1</v>
      </c>
      <c r="E21" s="433"/>
      <c r="G21" s="370">
        <v>2</v>
      </c>
      <c r="H21" s="529">
        <f>(H20*$P$18+((1-$D$23)*$P$20+$D$23*H20)*$D$23)/$D$24+$D$25</f>
        <v>11.860056909622394</v>
      </c>
      <c r="I21" s="528">
        <f>-($D$18/$P$22)*(1-$P$18)*LN($D$23)/(H21*0.000001*$D$20^2)</f>
        <v>20.742199956620755</v>
      </c>
      <c r="O21" s="411" t="s">
        <v>442</v>
      </c>
      <c r="P21" s="412">
        <v>5</v>
      </c>
      <c r="Q21" s="402" t="s">
        <v>431</v>
      </c>
      <c r="R21" s="433"/>
    </row>
    <row r="22" spans="1:22">
      <c r="C22" s="381" t="s">
        <v>445</v>
      </c>
      <c r="D22" s="365">
        <f>D17^(1/D21)</f>
        <v>0.24640565656565661</v>
      </c>
      <c r="E22" s="433"/>
      <c r="G22" s="370">
        <v>3</v>
      </c>
      <c r="H22" s="529" t="str">
        <f>IF(D21&gt;2,(H21*$P$18+((1-$D$23)*$P$20+$D$23*H21)*$D$23)/$D$24+$D$25," ")</f>
        <v xml:space="preserve"> </v>
      </c>
      <c r="I22" s="528" t="str">
        <f>IF(D21&gt;2,-($D$18/$P$22)*(1-$P$18)*LN($D$23)/(H22*0.000001*$D$20^2)," ")</f>
        <v xml:space="preserve"> </v>
      </c>
      <c r="O22" s="411" t="s">
        <v>440</v>
      </c>
      <c r="P22" s="412">
        <v>8.8449999999999996E-12</v>
      </c>
      <c r="Q22" s="404" t="s">
        <v>502</v>
      </c>
      <c r="R22" s="433"/>
    </row>
    <row r="23" spans="1:22" ht="15.75" thickBot="1">
      <c r="C23" s="381" t="s">
        <v>446</v>
      </c>
      <c r="D23" s="365">
        <f>(D22-P23)/(1-P23)</f>
        <v>5.7771513585467109E-2</v>
      </c>
      <c r="E23" s="433"/>
      <c r="G23" s="370">
        <v>4</v>
      </c>
      <c r="H23" s="529" t="str">
        <f>IF(D21&gt;3,(H22*$P$18+((1-$D$23)*$P$20+$D$23*H22)*$D$23)/$D$24+$D$25," ")</f>
        <v xml:space="preserve"> </v>
      </c>
      <c r="I23" s="528" t="str">
        <f>IF(D21&gt;3,-($D$18/$P$22)*(1-$P$18)*LN($D$23)/(H23*0.000001*$D$20^2)," ")</f>
        <v xml:space="preserve"> </v>
      </c>
      <c r="O23" s="407" t="s">
        <v>441</v>
      </c>
      <c r="P23" s="373">
        <v>0.20020000000000002</v>
      </c>
      <c r="Q23" s="4"/>
      <c r="R23" s="432"/>
    </row>
    <row r="24" spans="1:22">
      <c r="C24" s="381" t="s">
        <v>443</v>
      </c>
      <c r="D24" s="365">
        <f>D22</f>
        <v>0.24640565656565661</v>
      </c>
      <c r="E24" s="433"/>
      <c r="G24" s="370">
        <v>5</v>
      </c>
      <c r="H24" s="529" t="str">
        <f>IF(D21&gt;4,(H23*$P$18+((1-$D$23)*$P$20+$D$23*H23)*$D$23)/$D$24+$D$25," ")</f>
        <v xml:space="preserve"> </v>
      </c>
      <c r="I24" s="528" t="str">
        <f>IF(D21&gt;4,-($D$18/$P$22)*(1-$P$18)*LN($D$23)/(H24*0.000001*$D$20^2)," ")</f>
        <v xml:space="preserve"> </v>
      </c>
      <c r="O24" s="350"/>
    </row>
    <row r="25" spans="1:22" ht="15.75" thickBot="1">
      <c r="C25" s="381" t="s">
        <v>414</v>
      </c>
      <c r="D25" s="365">
        <f>P19*(1-P18)*(1-D23)*P21/D24</f>
        <v>2.48935334198555</v>
      </c>
      <c r="E25" s="433" t="s">
        <v>431</v>
      </c>
      <c r="G25" s="372">
        <v>6</v>
      </c>
      <c r="H25" s="530" t="str">
        <f>IF(D21&gt;5,(H24*$P$18+((1-$D$23)*$P$20+$D$23*H24)*$D$23)/$D$24+$D$25," ")</f>
        <v xml:space="preserve"> </v>
      </c>
      <c r="I25" s="531" t="str">
        <f>IF(D21&gt;5,-($D$18/$P$22)*(1-$P$18)*LN($D$23)/(H25*0.000001*$D$20^2)," ")</f>
        <v xml:space="preserve"> </v>
      </c>
    </row>
    <row r="26" spans="1:22">
      <c r="C26" s="381" t="s">
        <v>447</v>
      </c>
      <c r="D26" s="365">
        <f>SUM(I20:I25)</f>
        <v>28.942322353830399</v>
      </c>
      <c r="E26" s="433" t="s">
        <v>448</v>
      </c>
    </row>
    <row r="27" spans="1:22" ht="18.75">
      <c r="C27" s="130" t="s">
        <v>682</v>
      </c>
      <c r="D27" s="365">
        <f>'Liquid fuels - emission calc.'!D85/'Liquid fuels - emission calc.'!D82*'Liquid fuels - emission calc.'!D20</f>
        <v>383.72618206094882</v>
      </c>
      <c r="E27" s="659" t="s">
        <v>1086</v>
      </c>
    </row>
    <row r="28" spans="1:22" ht="18.75" thickBot="1">
      <c r="C28" s="541" t="s">
        <v>718</v>
      </c>
      <c r="D28" s="539">
        <f>D26*('Liquid fuels - emission calc.'!D86/(8760*'Liquid fuels - emission calc.'!D33/100*3600))</f>
        <v>11105.926856812594</v>
      </c>
      <c r="E28" s="540" t="s">
        <v>428</v>
      </c>
    </row>
    <row r="29" spans="1:22">
      <c r="D29" s="348"/>
    </row>
    <row r="30" spans="1:22">
      <c r="D30" s="348"/>
    </row>
    <row r="31" spans="1:22" ht="27.75">
      <c r="A31" s="75"/>
      <c r="B31" s="140"/>
      <c r="C31" s="206" t="s">
        <v>184</v>
      </c>
      <c r="D31" s="140"/>
      <c r="E31" s="140"/>
      <c r="F31" s="140"/>
      <c r="G31" s="140"/>
      <c r="H31" s="140"/>
      <c r="I31" s="140"/>
      <c r="J31" s="140"/>
      <c r="K31" s="140"/>
      <c r="L31" s="140"/>
      <c r="M31" s="140"/>
      <c r="N31" s="206" t="s">
        <v>328</v>
      </c>
      <c r="O31" s="140"/>
      <c r="P31" s="140"/>
      <c r="Q31" s="140"/>
      <c r="R31" s="75"/>
      <c r="S31" s="75"/>
      <c r="T31" s="75"/>
      <c r="U31" s="75"/>
      <c r="V31" s="75"/>
    </row>
    <row r="32" spans="1:22">
      <c r="D32" s="348"/>
    </row>
    <row r="33" spans="3:21" ht="15.75" thickBot="1">
      <c r="D33" s="348"/>
    </row>
    <row r="34" spans="3:21" ht="15.75" thickBot="1">
      <c r="C34" s="1050" t="s">
        <v>184</v>
      </c>
      <c r="D34" s="1152"/>
      <c r="E34" s="1153"/>
    </row>
    <row r="35" spans="3:21" ht="15.75" thickBot="1">
      <c r="C35" s="80" t="s">
        <v>451</v>
      </c>
      <c r="D35" s="134">
        <f>D10/100*'Liquid fuels - emission calc.'!D93/'Liquid fuels - emission calc.'!D90*'Liquid fuels - emission calc.'!D86/10^9</f>
        <v>707.11165169555113</v>
      </c>
      <c r="E35" s="142" t="s">
        <v>115</v>
      </c>
      <c r="P35" s="1159" t="s">
        <v>712</v>
      </c>
      <c r="Q35" s="1163"/>
      <c r="R35" s="1160"/>
    </row>
    <row r="36" spans="3:21" ht="15.75" thickBot="1">
      <c r="C36" s="611" t="s">
        <v>452</v>
      </c>
      <c r="D36" s="358" t="s">
        <v>278</v>
      </c>
      <c r="E36" s="433" t="s">
        <v>85</v>
      </c>
      <c r="P36" s="535" t="s">
        <v>449</v>
      </c>
      <c r="Q36" s="536" t="s">
        <v>158</v>
      </c>
      <c r="R36" s="537" t="s">
        <v>352</v>
      </c>
      <c r="S36" s="569" t="s">
        <v>769</v>
      </c>
    </row>
    <row r="37" spans="3:21" ht="18">
      <c r="C37" s="423" t="s">
        <v>427</v>
      </c>
      <c r="D37" s="507">
        <f>D28</f>
        <v>11105.926856812594</v>
      </c>
      <c r="E37" s="433" t="s">
        <v>428</v>
      </c>
      <c r="G37" s="416"/>
      <c r="H37" s="416"/>
      <c r="O37" s="1164" t="s">
        <v>415</v>
      </c>
      <c r="P37" s="522" t="s">
        <v>466</v>
      </c>
      <c r="Q37" s="383">
        <v>3495.6800000000003</v>
      </c>
      <c r="R37" s="384">
        <v>0.62749999999999995</v>
      </c>
      <c r="T37" s="352" t="s">
        <v>415</v>
      </c>
      <c r="U37" s="353">
        <v>1</v>
      </c>
    </row>
    <row r="38" spans="3:21" ht="15.75" thickBot="1">
      <c r="C38" s="1" t="s">
        <v>158</v>
      </c>
      <c r="D38" s="360">
        <f>IF(D36="N",IF(D37&lt;=4645,Q37,Q38),IF(D37&lt;=4645,Q39,Q40))</f>
        <v>796.16</v>
      </c>
      <c r="E38" s="379" t="s">
        <v>454</v>
      </c>
      <c r="G38" s="414"/>
      <c r="O38" s="1161"/>
      <c r="P38" s="522" t="s">
        <v>465</v>
      </c>
      <c r="Q38" s="383">
        <v>549.12</v>
      </c>
      <c r="R38" s="384">
        <v>0.84309999999999996</v>
      </c>
      <c r="T38" s="354" t="s">
        <v>416</v>
      </c>
      <c r="U38" s="355">
        <v>2</v>
      </c>
    </row>
    <row r="39" spans="3:21">
      <c r="C39" s="423" t="s">
        <v>352</v>
      </c>
      <c r="D39" s="360">
        <f>IF(D36="N",IF(D37&lt;=4645,R37,R38),IF(D37&lt;=4645,R39,R40))</f>
        <v>0.84309999999999996</v>
      </c>
      <c r="E39" s="433"/>
      <c r="G39" s="416"/>
      <c r="O39" s="1161" t="s">
        <v>416</v>
      </c>
      <c r="P39" s="522" t="s">
        <v>466</v>
      </c>
      <c r="Q39" s="383">
        <v>5068.8</v>
      </c>
      <c r="R39" s="384">
        <v>0.62760000000000005</v>
      </c>
      <c r="T39" s="382"/>
    </row>
    <row r="40" spans="3:21" ht="15.75" thickBot="1">
      <c r="C40" s="423" t="s">
        <v>453</v>
      </c>
      <c r="D40" s="361" t="s">
        <v>419</v>
      </c>
      <c r="E40" s="433"/>
      <c r="O40" s="1162"/>
      <c r="P40" s="523" t="s">
        <v>465</v>
      </c>
      <c r="Q40" s="385">
        <v>796.16</v>
      </c>
      <c r="R40" s="386">
        <v>0.84309999999999996</v>
      </c>
      <c r="T40" s="382"/>
    </row>
    <row r="41" spans="3:21">
      <c r="C41" s="80"/>
      <c r="D41" s="146"/>
      <c r="E41" s="142"/>
    </row>
    <row r="42" spans="3:21" ht="15.75" thickBot="1">
      <c r="C42" s="423" t="s">
        <v>689</v>
      </c>
      <c r="D42" s="358" t="s">
        <v>278</v>
      </c>
      <c r="E42" s="433"/>
    </row>
    <row r="43" spans="3:21" ht="15.75" thickBot="1">
      <c r="C43" s="80" t="s">
        <v>772</v>
      </c>
      <c r="D43" s="506">
        <f>(D38*D37^D39*VLOOKUP(D40,$P$45:$Q$51,2,FALSE)+IF(D42="Y",1.6*1000*'Liquid fuels - emission calc.'!D20))*(1+SUM(Q62:Q63))</f>
        <v>5365129.3478545444</v>
      </c>
      <c r="E43" s="142" t="s">
        <v>123</v>
      </c>
      <c r="P43" s="1157" t="s">
        <v>713</v>
      </c>
      <c r="Q43" s="1158"/>
      <c r="R43" s="547" t="s">
        <v>744</v>
      </c>
    </row>
    <row r="44" spans="3:21">
      <c r="C44" s="80" t="s">
        <v>773</v>
      </c>
      <c r="D44" s="506">
        <f>D43*SUM(Q66:Q71)</f>
        <v>3594636.663062545</v>
      </c>
      <c r="E44" s="142" t="s">
        <v>123</v>
      </c>
      <c r="P44" s="374" t="s">
        <v>417</v>
      </c>
      <c r="Q44" s="376" t="s">
        <v>216</v>
      </c>
    </row>
    <row r="45" spans="3:21">
      <c r="C45" s="80" t="s">
        <v>774</v>
      </c>
      <c r="D45" s="506">
        <f>D43*SUM(Q74:Q80)</f>
        <v>3058123.7282770905</v>
      </c>
      <c r="E45" s="142" t="s">
        <v>123</v>
      </c>
      <c r="P45" s="370" t="s">
        <v>418</v>
      </c>
      <c r="Q45" s="387">
        <v>1</v>
      </c>
    </row>
    <row r="46" spans="3:21">
      <c r="C46" s="700" t="s">
        <v>1180</v>
      </c>
      <c r="D46" s="361" t="s">
        <v>278</v>
      </c>
      <c r="E46" s="379" t="s">
        <v>85</v>
      </c>
      <c r="F46" s="525"/>
      <c r="G46" s="526"/>
      <c r="H46" s="526"/>
      <c r="P46" s="370" t="s">
        <v>419</v>
      </c>
      <c r="Q46" s="387">
        <v>1.3</v>
      </c>
    </row>
    <row r="47" spans="3:21">
      <c r="C47" s="80" t="s">
        <v>990</v>
      </c>
      <c r="D47" s="361" t="s">
        <v>278</v>
      </c>
      <c r="E47" s="379" t="s">
        <v>85</v>
      </c>
      <c r="F47" s="525"/>
      <c r="G47" s="526"/>
      <c r="H47" s="526"/>
      <c r="P47" s="370" t="s">
        <v>420</v>
      </c>
      <c r="Q47" s="387">
        <v>1.7</v>
      </c>
    </row>
    <row r="48" spans="3:21">
      <c r="F48" s="525"/>
      <c r="G48" s="526"/>
      <c r="P48" s="370" t="s">
        <v>421</v>
      </c>
      <c r="Q48" s="387">
        <v>1.9</v>
      </c>
    </row>
    <row r="49" spans="3:18">
      <c r="C49" s="80" t="s">
        <v>125</v>
      </c>
      <c r="D49" s="506">
        <f>D44+D45+D43*IF(D46="N",1.4,1)</f>
        <v>12017889.739194181</v>
      </c>
      <c r="E49" s="142" t="s">
        <v>123</v>
      </c>
      <c r="P49" s="370" t="s">
        <v>422</v>
      </c>
      <c r="Q49" s="387">
        <v>2.2999999999999998</v>
      </c>
    </row>
    <row r="50" spans="3:18">
      <c r="C50" s="397" t="s">
        <v>34</v>
      </c>
      <c r="D50" s="398">
        <f>D49*'Solid fuels - emission calc.'!$J$5</f>
        <v>1080902.227280152</v>
      </c>
      <c r="E50" s="143" t="s">
        <v>126</v>
      </c>
      <c r="G50" s="419"/>
      <c r="P50" s="370" t="s">
        <v>423</v>
      </c>
      <c r="Q50" s="387">
        <v>3.2</v>
      </c>
    </row>
    <row r="51" spans="3:18" ht="15.75" thickBot="1">
      <c r="C51" s="1100" t="s">
        <v>33</v>
      </c>
      <c r="D51" s="1101"/>
      <c r="E51" s="1102"/>
      <c r="P51" s="372" t="s">
        <v>424</v>
      </c>
      <c r="Q51" s="388">
        <v>4.5</v>
      </c>
    </row>
    <row r="52" spans="3:18">
      <c r="C52" s="397" t="s">
        <v>30</v>
      </c>
      <c r="D52" s="398">
        <f>D49*'Solid fuels - emission calc.'!$G$4</f>
        <v>240357.79478388361</v>
      </c>
      <c r="E52" s="143" t="s">
        <v>126</v>
      </c>
    </row>
    <row r="53" spans="3:18">
      <c r="C53" s="397" t="s">
        <v>986</v>
      </c>
      <c r="D53" s="398"/>
      <c r="E53" s="143"/>
    </row>
    <row r="54" spans="3:18">
      <c r="C54" s="119" t="s">
        <v>458</v>
      </c>
      <c r="D54" s="361">
        <v>25</v>
      </c>
      <c r="E54" s="117" t="s">
        <v>16</v>
      </c>
    </row>
    <row r="55" spans="3:18" ht="15.75" thickBot="1">
      <c r="C55" s="119" t="s">
        <v>460</v>
      </c>
      <c r="D55" s="396">
        <v>0.65</v>
      </c>
      <c r="E55" s="117" t="s">
        <v>87</v>
      </c>
    </row>
    <row r="56" spans="3:18">
      <c r="C56" s="119" t="s">
        <v>455</v>
      </c>
      <c r="D56" s="394">
        <f>'Liquid fuels - emission calc.'!H35*D54/D55*D27*3600</f>
        <v>1.4685481099426811</v>
      </c>
      <c r="E56" s="115" t="s">
        <v>52</v>
      </c>
      <c r="P56" s="1157" t="s">
        <v>714</v>
      </c>
      <c r="Q56" s="1158"/>
    </row>
    <row r="57" spans="3:18">
      <c r="C57" s="119" t="s">
        <v>456</v>
      </c>
      <c r="D57" s="394">
        <f>D37*0.0000209</f>
        <v>0.2321138713073832</v>
      </c>
      <c r="E57" s="115" t="s">
        <v>52</v>
      </c>
      <c r="P57" s="390" t="s">
        <v>457</v>
      </c>
      <c r="Q57" s="391" t="s">
        <v>463</v>
      </c>
      <c r="R57" s="547" t="s">
        <v>768</v>
      </c>
    </row>
    <row r="58" spans="3:18" ht="15.75" thickBot="1">
      <c r="C58" s="399" t="s">
        <v>985</v>
      </c>
      <c r="D58" s="401">
        <f>(D56+D57)*'Liquid fuels - emission calc.'!H33*'Liquid fuels - emission calc.'!H33/100*8760</f>
        <v>536320.7624070202</v>
      </c>
      <c r="E58" s="400" t="s">
        <v>126</v>
      </c>
      <c r="P58" s="392" t="s">
        <v>462</v>
      </c>
      <c r="Q58" s="393" t="s">
        <v>461</v>
      </c>
      <c r="R58" s="547" t="s">
        <v>744</v>
      </c>
    </row>
    <row r="59" spans="3:18">
      <c r="C59" s="1" t="str">
        <f>IF(D42="Y","SO3 injection rate"," ")</f>
        <v>SO3 injection rate</v>
      </c>
      <c r="D59" s="361">
        <v>35</v>
      </c>
      <c r="E59" s="433" t="str">
        <f>IF(D42="Y","kg/h"," ")</f>
        <v>kg/h</v>
      </c>
      <c r="R59" s="547"/>
    </row>
    <row r="60" spans="3:18" ht="15.75" thickBot="1">
      <c r="C60" s="399" t="str">
        <f>IF(D42="Y","SO3 consumption cost"," ")</f>
        <v>SO3 consumption cost</v>
      </c>
      <c r="D60" s="401">
        <f>IF(D42="Y",D59/1000*8760*'Liquid fuels - emission calc.'!H33/100*Q84," ")</f>
        <v>12877.2</v>
      </c>
      <c r="E60" s="400" t="str">
        <f>IF(D42="Y","€/a"," ")</f>
        <v>€/a</v>
      </c>
      <c r="R60" s="547" t="s">
        <v>767</v>
      </c>
    </row>
    <row r="61" spans="3:18">
      <c r="C61" s="397" t="s">
        <v>988</v>
      </c>
      <c r="D61" s="607">
        <f>IF(D47="Y",D35*D5,D35*D6)</f>
        <v>-707.11165169555113</v>
      </c>
      <c r="E61" s="400" t="s">
        <v>126</v>
      </c>
      <c r="P61" s="1142" t="s">
        <v>789</v>
      </c>
      <c r="Q61" s="1143"/>
      <c r="R61" s="547"/>
    </row>
    <row r="62" spans="3:18">
      <c r="C62" s="666" t="s">
        <v>1095</v>
      </c>
      <c r="D62" s="401">
        <f>IF(D42="Y",D52+D58+D60+D61,D52+D58+D61)</f>
        <v>788848.6455392082</v>
      </c>
      <c r="E62" s="143" t="s">
        <v>126</v>
      </c>
      <c r="P62" s="574" t="s">
        <v>776</v>
      </c>
      <c r="Q62" s="433">
        <v>0.1</v>
      </c>
      <c r="R62" s="547"/>
    </row>
    <row r="63" spans="3:18" ht="15.75" thickBot="1">
      <c r="C63" s="668"/>
      <c r="D63" s="669"/>
      <c r="E63" s="670"/>
      <c r="P63" s="430" t="s">
        <v>777</v>
      </c>
      <c r="Q63" s="432">
        <v>0.05</v>
      </c>
      <c r="R63" s="547"/>
    </row>
    <row r="64" spans="3:18" ht="15.75" thickBot="1">
      <c r="C64" s="1139" t="s">
        <v>1089</v>
      </c>
      <c r="D64" s="1140"/>
      <c r="E64" s="1141"/>
      <c r="R64" s="547"/>
    </row>
    <row r="65" spans="3:18">
      <c r="C65" s="149" t="s">
        <v>1090</v>
      </c>
      <c r="D65" s="216">
        <f>+D35</f>
        <v>707.11165169555113</v>
      </c>
      <c r="E65" s="150" t="s">
        <v>1092</v>
      </c>
      <c r="P65" s="1142" t="s">
        <v>786</v>
      </c>
      <c r="Q65" s="1143"/>
      <c r="R65" s="547"/>
    </row>
    <row r="66" spans="3:18" ht="16.5">
      <c r="C66" s="149" t="s">
        <v>1184</v>
      </c>
      <c r="D66" s="216">
        <f>+D11</f>
        <v>81.166967831644953</v>
      </c>
      <c r="E66" s="582" t="s">
        <v>1093</v>
      </c>
      <c r="P66" s="514" t="s">
        <v>504</v>
      </c>
      <c r="Q66" s="426">
        <v>0.04</v>
      </c>
      <c r="R66" s="547"/>
    </row>
    <row r="67" spans="3:18" ht="16.5">
      <c r="C67" s="149" t="s">
        <v>1185</v>
      </c>
      <c r="D67" s="216">
        <f>+D9</f>
        <v>20</v>
      </c>
      <c r="E67" s="582" t="s">
        <v>1094</v>
      </c>
      <c r="P67" s="514" t="s">
        <v>505</v>
      </c>
      <c r="Q67" s="426">
        <v>0.5</v>
      </c>
      <c r="R67" s="547"/>
    </row>
    <row r="68" spans="3:18">
      <c r="C68" s="149" t="s">
        <v>1039</v>
      </c>
      <c r="D68" s="621">
        <f>+D10</f>
        <v>75.359434343434344</v>
      </c>
      <c r="E68" s="150" t="s">
        <v>87</v>
      </c>
      <c r="P68" s="514" t="s">
        <v>506</v>
      </c>
      <c r="Q68" s="426">
        <v>0.08</v>
      </c>
    </row>
    <row r="69" spans="3:18">
      <c r="C69" s="149" t="s">
        <v>906</v>
      </c>
      <c r="D69" s="216">
        <f>+D49</f>
        <v>12017889.739194181</v>
      </c>
      <c r="E69" s="150" t="s">
        <v>123</v>
      </c>
      <c r="P69" s="514" t="s">
        <v>507</v>
      </c>
      <c r="Q69" s="426">
        <v>0.01</v>
      </c>
    </row>
    <row r="70" spans="3:18">
      <c r="C70" s="149" t="s">
        <v>879</v>
      </c>
      <c r="D70" s="216">
        <f>+D62+D50</f>
        <v>1869750.8728193603</v>
      </c>
      <c r="E70" s="150" t="s">
        <v>877</v>
      </c>
      <c r="P70" s="514" t="s">
        <v>508</v>
      </c>
      <c r="Q70" s="426">
        <v>0.02</v>
      </c>
    </row>
    <row r="71" spans="3:18" ht="15.75" thickBot="1">
      <c r="C71" s="149" t="s">
        <v>1091</v>
      </c>
      <c r="D71" s="216">
        <f>+D70/D65</f>
        <v>2644.2088294486011</v>
      </c>
      <c r="E71" s="150" t="s">
        <v>1096</v>
      </c>
      <c r="P71" s="428" t="s">
        <v>509</v>
      </c>
      <c r="Q71" s="427">
        <v>0.02</v>
      </c>
    </row>
    <row r="72" spans="3:18" ht="15.75" thickBot="1">
      <c r="C72" s="149" t="s">
        <v>908</v>
      </c>
      <c r="D72" s="216">
        <f>+D69/('Solid fuels - emission calc.'!D$20*1000)</f>
        <v>9.6143117913553446</v>
      </c>
      <c r="E72" s="150" t="s">
        <v>303</v>
      </c>
    </row>
    <row r="73" spans="3:18">
      <c r="C73" s="149" t="s">
        <v>813</v>
      </c>
      <c r="D73" s="621">
        <f>(D56)/('Solid fuels - emission calc.'!D$20*'Solid fuels - emission calc.'!D$21/100)*100</f>
        <v>0.29370962198853623</v>
      </c>
      <c r="E73" s="150" t="s">
        <v>87</v>
      </c>
      <c r="P73" s="1142" t="s">
        <v>787</v>
      </c>
      <c r="Q73" s="1143"/>
    </row>
    <row r="74" spans="3:18">
      <c r="C74" s="141" t="s">
        <v>815</v>
      </c>
      <c r="D74" s="171">
        <f>IF(D70&gt;0,D50/D70,"n/a")</f>
        <v>0.57809959764868624</v>
      </c>
      <c r="E74" s="173"/>
      <c r="P74" s="431" t="s">
        <v>779</v>
      </c>
      <c r="Q74" s="433">
        <v>0.2</v>
      </c>
    </row>
    <row r="75" spans="3:18" ht="15.75" thickBot="1">
      <c r="C75" s="165" t="s">
        <v>816</v>
      </c>
      <c r="D75" s="172">
        <f>IF(D70&gt;0,(D62)/D70,"n/a")</f>
        <v>0.42190040235131376</v>
      </c>
      <c r="E75" s="174"/>
      <c r="P75" s="431" t="s">
        <v>790</v>
      </c>
      <c r="Q75" s="433">
        <v>0.2</v>
      </c>
    </row>
    <row r="76" spans="3:18">
      <c r="P76" s="431" t="s">
        <v>781</v>
      </c>
      <c r="Q76" s="433">
        <v>0.1</v>
      </c>
    </row>
    <row r="77" spans="3:18">
      <c r="P77" s="574" t="s">
        <v>782</v>
      </c>
      <c r="Q77" s="379">
        <v>0.01</v>
      </c>
    </row>
    <row r="78" spans="3:18">
      <c r="P78" s="574" t="s">
        <v>783</v>
      </c>
      <c r="Q78" s="379">
        <v>0.01</v>
      </c>
    </row>
    <row r="79" spans="3:18">
      <c r="P79" s="574" t="s">
        <v>791</v>
      </c>
      <c r="Q79" s="379">
        <v>0.02</v>
      </c>
    </row>
    <row r="80" spans="3:18" ht="15.75" thickBot="1">
      <c r="P80" s="430" t="s">
        <v>784</v>
      </c>
      <c r="Q80" s="364">
        <v>0.03</v>
      </c>
    </row>
    <row r="81" spans="1:22" ht="15.75" thickBot="1">
      <c r="P81" s="577"/>
      <c r="Q81" s="404"/>
    </row>
    <row r="82" spans="1:22">
      <c r="P82" s="1142" t="s">
        <v>1160</v>
      </c>
      <c r="Q82" s="1143"/>
      <c r="R82" s="547" t="s">
        <v>737</v>
      </c>
    </row>
    <row r="83" spans="1:22">
      <c r="P83" s="370" t="s">
        <v>720</v>
      </c>
      <c r="Q83" s="524" t="s">
        <v>719</v>
      </c>
    </row>
    <row r="84" spans="1:22" ht="15.75" thickBot="1">
      <c r="P84" s="372" t="s">
        <v>690</v>
      </c>
      <c r="Q84" s="427">
        <v>70</v>
      </c>
    </row>
    <row r="86" spans="1:22" ht="27.75">
      <c r="A86" s="75"/>
      <c r="B86" s="140"/>
      <c r="C86" s="206" t="s">
        <v>333</v>
      </c>
      <c r="D86" s="140"/>
      <c r="E86" s="140"/>
      <c r="F86" s="140"/>
      <c r="G86" s="140"/>
      <c r="H86" s="140"/>
      <c r="I86" s="140"/>
      <c r="J86" s="140"/>
      <c r="K86" s="140"/>
      <c r="L86" s="140"/>
      <c r="M86" s="140"/>
      <c r="N86" s="206"/>
      <c r="O86" s="140"/>
      <c r="P86" s="140"/>
      <c r="Q86" s="140"/>
      <c r="R86" s="75"/>
      <c r="S86" s="75"/>
      <c r="T86" s="75"/>
      <c r="U86" s="75"/>
      <c r="V86" s="75"/>
    </row>
    <row r="89" spans="1:22">
      <c r="C89" s="564" t="s">
        <v>186</v>
      </c>
      <c r="D89" s="564" t="s">
        <v>745</v>
      </c>
    </row>
    <row r="90" spans="1:22">
      <c r="C90" s="564" t="s">
        <v>205</v>
      </c>
      <c r="D90" s="12">
        <f>'Solid fuels - emission calc.'!D21/100</f>
        <v>0.4</v>
      </c>
      <c r="E90" s="564" t="s">
        <v>206</v>
      </c>
    </row>
    <row r="91" spans="1:22" ht="15.75" thickBot="1">
      <c r="E91" s="10"/>
      <c r="H91" s="565"/>
    </row>
    <row r="92" spans="1:22">
      <c r="C92" s="1144" t="s">
        <v>759</v>
      </c>
      <c r="D92" s="1146" t="s">
        <v>214</v>
      </c>
      <c r="E92" s="1096" t="s">
        <v>760</v>
      </c>
      <c r="F92" s="1096"/>
      <c r="G92" s="1096"/>
      <c r="H92" s="1096"/>
      <c r="I92" s="1096"/>
      <c r="J92" s="1096" t="s">
        <v>757</v>
      </c>
      <c r="K92" s="1148"/>
    </row>
    <row r="93" spans="1:22" ht="15.75" thickBot="1">
      <c r="C93" s="1165"/>
      <c r="D93" s="1166"/>
      <c r="E93" s="41" t="s">
        <v>143</v>
      </c>
      <c r="F93" s="41" t="s">
        <v>144</v>
      </c>
      <c r="G93" s="41" t="s">
        <v>199</v>
      </c>
      <c r="H93" s="41"/>
      <c r="I93" s="41" t="s">
        <v>755</v>
      </c>
      <c r="J93" s="47" t="s">
        <v>143</v>
      </c>
      <c r="K93" s="554" t="s">
        <v>144</v>
      </c>
    </row>
    <row r="94" spans="1:22">
      <c r="C94" s="570" t="s">
        <v>746</v>
      </c>
      <c r="D94" s="562">
        <v>2005</v>
      </c>
      <c r="E94" s="563">
        <v>17.3</v>
      </c>
      <c r="F94" s="563">
        <v>17.3</v>
      </c>
      <c r="G94" s="562" t="s">
        <v>752</v>
      </c>
      <c r="H94" s="573" t="s">
        <v>754</v>
      </c>
      <c r="I94" s="562" t="s">
        <v>756</v>
      </c>
      <c r="J94" s="563">
        <f>E94/0.684*550.8/468.2*0.4</f>
        <v>11.90179635333528</v>
      </c>
      <c r="K94" s="566">
        <f>F94/0.684*550.8/468.2*0.4</f>
        <v>11.90179635333528</v>
      </c>
    </row>
    <row r="95" spans="1:22">
      <c r="C95" s="571" t="s">
        <v>747</v>
      </c>
      <c r="D95" s="552">
        <v>2005</v>
      </c>
      <c r="E95" s="9">
        <v>32</v>
      </c>
      <c r="F95" s="9">
        <v>36</v>
      </c>
      <c r="G95" s="552" t="s">
        <v>752</v>
      </c>
      <c r="H95" s="402" t="s">
        <v>754</v>
      </c>
      <c r="I95" s="552" t="s">
        <v>756</v>
      </c>
      <c r="J95" s="9">
        <f>E95/0.684*550.8/468.2*0.4</f>
        <v>22.014883428134624</v>
      </c>
      <c r="K95" s="555">
        <f>F95/0.684*550.8/468.2*0.4</f>
        <v>24.766743856651452</v>
      </c>
    </row>
    <row r="96" spans="1:22">
      <c r="C96" s="571" t="s">
        <v>758</v>
      </c>
      <c r="D96" s="552">
        <v>2006</v>
      </c>
      <c r="E96" s="9">
        <v>70.7</v>
      </c>
      <c r="F96" s="9">
        <v>70.7</v>
      </c>
      <c r="G96" s="552" t="s">
        <v>753</v>
      </c>
      <c r="H96" s="402" t="s">
        <v>754</v>
      </c>
      <c r="I96" s="552" t="s">
        <v>756</v>
      </c>
      <c r="J96" s="9">
        <f>E96/1.256*550.8/499.6*0.4</f>
        <v>24.82340012137098</v>
      </c>
      <c r="K96" s="555">
        <f>F96/1.256*550.8/499.6*0.4</f>
        <v>24.82340012137098</v>
      </c>
    </row>
    <row r="97" spans="3:11">
      <c r="C97" s="571" t="s">
        <v>748</v>
      </c>
      <c r="D97" s="552">
        <v>2006</v>
      </c>
      <c r="E97" s="9">
        <v>85</v>
      </c>
      <c r="F97" s="9">
        <v>85</v>
      </c>
      <c r="G97" s="553" t="s">
        <v>753</v>
      </c>
      <c r="H97" s="402" t="s">
        <v>754</v>
      </c>
      <c r="I97" s="553" t="s">
        <v>756</v>
      </c>
      <c r="J97" s="9">
        <f>E97/1.256*550.8/499.6*0.4</f>
        <v>29.844257571662425</v>
      </c>
      <c r="K97" s="555">
        <f>F97/1.256*550.8/499.6*0.4</f>
        <v>29.844257571662425</v>
      </c>
    </row>
    <row r="98" spans="3:11">
      <c r="C98" s="571" t="s">
        <v>749</v>
      </c>
      <c r="D98" s="552">
        <v>2001</v>
      </c>
      <c r="E98" s="550">
        <v>29</v>
      </c>
      <c r="F98" s="552">
        <v>33</v>
      </c>
      <c r="G98" s="553" t="s">
        <v>753</v>
      </c>
      <c r="H98" s="402" t="s">
        <v>754</v>
      </c>
      <c r="I98" s="553" t="s">
        <v>756</v>
      </c>
      <c r="J98" s="9">
        <f>E98/0.896*550.8/394.6*0.4</f>
        <v>18.071193251755844</v>
      </c>
      <c r="K98" s="555">
        <f>F98/0.896*550.8/394.6*0.4</f>
        <v>20.563771631308374</v>
      </c>
    </row>
    <row r="99" spans="3:11">
      <c r="C99" s="571" t="s">
        <v>207</v>
      </c>
      <c r="D99" s="552">
        <v>1998</v>
      </c>
      <c r="E99" s="9">
        <v>40</v>
      </c>
      <c r="F99" s="9">
        <v>60</v>
      </c>
      <c r="G99" s="553" t="s">
        <v>753</v>
      </c>
      <c r="H99" s="402" t="s">
        <v>754</v>
      </c>
      <c r="I99" s="553" t="s">
        <v>756</v>
      </c>
      <c r="J99" s="9">
        <f>E99/1.121*550.8/389.5*0.4</f>
        <v>20.183702658661403</v>
      </c>
      <c r="K99" s="555">
        <f>F99/1.121*550.8/389.5*0.4</f>
        <v>30.275553987992108</v>
      </c>
    </row>
    <row r="100" spans="3:11">
      <c r="C100" s="571" t="s">
        <v>511</v>
      </c>
      <c r="D100" s="552">
        <v>2008</v>
      </c>
      <c r="E100" s="9">
        <v>25.8</v>
      </c>
      <c r="F100" s="9">
        <v>41.8</v>
      </c>
      <c r="G100" s="553" t="s">
        <v>123</v>
      </c>
      <c r="H100" s="402" t="s">
        <v>754</v>
      </c>
      <c r="I100" s="553" t="s">
        <v>761</v>
      </c>
      <c r="J100" s="9">
        <f>E100*550.8/575.4</f>
        <v>24.696976016684047</v>
      </c>
      <c r="K100" s="555">
        <f>F100*550.8/575.4</f>
        <v>40.012930135557866</v>
      </c>
    </row>
    <row r="101" spans="3:11">
      <c r="C101" s="571" t="s">
        <v>765</v>
      </c>
      <c r="D101" s="552">
        <v>1983</v>
      </c>
      <c r="E101" s="9">
        <v>13.3</v>
      </c>
      <c r="F101" s="9">
        <v>13.3</v>
      </c>
      <c r="G101" s="553" t="s">
        <v>123</v>
      </c>
      <c r="H101" s="402" t="s">
        <v>754</v>
      </c>
      <c r="I101" s="553" t="s">
        <v>761</v>
      </c>
      <c r="J101" s="9">
        <f>E101*550.8/314</f>
        <v>23.330063694267515</v>
      </c>
      <c r="K101" s="555">
        <f>F101*550.8/314</f>
        <v>23.330063694267515</v>
      </c>
    </row>
    <row r="102" spans="3:11">
      <c r="C102" s="571" t="s">
        <v>763</v>
      </c>
      <c r="D102" s="412">
        <v>1982</v>
      </c>
      <c r="E102" s="550">
        <v>9.65</v>
      </c>
      <c r="F102" s="550">
        <v>9.65</v>
      </c>
      <c r="G102" s="553" t="s">
        <v>753</v>
      </c>
      <c r="H102" s="402" t="s">
        <v>754</v>
      </c>
      <c r="I102" s="553" t="s">
        <v>761</v>
      </c>
      <c r="J102" s="9">
        <f>E102/0.9797*550.8/314</f>
        <v>17.278199682861448</v>
      </c>
      <c r="K102" s="555">
        <f>F102/0.9797*550.8/314</f>
        <v>17.278199682861448</v>
      </c>
    </row>
    <row r="103" spans="3:11">
      <c r="C103" s="571" t="s">
        <v>766</v>
      </c>
      <c r="D103" s="552">
        <v>1985</v>
      </c>
      <c r="E103" s="40">
        <v>43</v>
      </c>
      <c r="F103" s="40">
        <v>43</v>
      </c>
      <c r="G103" s="552" t="s">
        <v>753</v>
      </c>
      <c r="H103" s="402" t="s">
        <v>754</v>
      </c>
      <c r="I103" s="552" t="s">
        <v>756</v>
      </c>
      <c r="J103" s="9">
        <f>E103/0.76*550.8/325.3*0.4</f>
        <v>38.319931399356058</v>
      </c>
      <c r="K103" s="555">
        <f>F103/0.76*550.8/325.3*0.4</f>
        <v>38.319931399356058</v>
      </c>
    </row>
    <row r="104" spans="3:11">
      <c r="C104" s="571" t="s">
        <v>762</v>
      </c>
      <c r="D104" s="552">
        <v>1997</v>
      </c>
      <c r="E104" s="40">
        <v>19</v>
      </c>
      <c r="F104" s="40">
        <v>19</v>
      </c>
      <c r="G104" s="552" t="s">
        <v>753</v>
      </c>
      <c r="H104" s="402" t="s">
        <v>754</v>
      </c>
      <c r="I104" s="552" t="s">
        <v>761</v>
      </c>
      <c r="J104" s="9">
        <f>E104/1.135*550.8/386.5</f>
        <v>23.856249750671051</v>
      </c>
      <c r="K104" s="555">
        <f>F104/1.135*550.8/386.5</f>
        <v>23.856249750671051</v>
      </c>
    </row>
    <row r="105" spans="3:11" ht="15.75" thickBot="1">
      <c r="C105" s="572" t="s">
        <v>207</v>
      </c>
      <c r="D105" s="373">
        <v>1995</v>
      </c>
      <c r="E105" s="567">
        <v>9</v>
      </c>
      <c r="F105" s="567">
        <v>30</v>
      </c>
      <c r="G105" s="556" t="s">
        <v>753</v>
      </c>
      <c r="H105" s="4" t="s">
        <v>754</v>
      </c>
      <c r="I105" s="504" t="s">
        <v>761</v>
      </c>
      <c r="J105" s="4">
        <f>E105/1.308*550.8/381.1</f>
        <v>9.9446556202590752</v>
      </c>
      <c r="K105" s="432">
        <f>F105/1.308*550.8/381.1</f>
        <v>33.14885206753025</v>
      </c>
    </row>
  </sheetData>
  <mergeCells count="20">
    <mergeCell ref="P65:Q65"/>
    <mergeCell ref="P73:Q73"/>
    <mergeCell ref="P82:Q82"/>
    <mergeCell ref="C92:C93"/>
    <mergeCell ref="D92:D93"/>
    <mergeCell ref="E92:I92"/>
    <mergeCell ref="J92:K92"/>
    <mergeCell ref="C64:E64"/>
    <mergeCell ref="O5:P5"/>
    <mergeCell ref="P61:Q61"/>
    <mergeCell ref="C8:E8"/>
    <mergeCell ref="C13:E13"/>
    <mergeCell ref="O14:R14"/>
    <mergeCell ref="C34:E34"/>
    <mergeCell ref="P35:R35"/>
    <mergeCell ref="O37:O38"/>
    <mergeCell ref="O39:O40"/>
    <mergeCell ref="P43:Q43"/>
    <mergeCell ref="C51:E51"/>
    <mergeCell ref="P56:Q56"/>
  </mergeCells>
  <conditionalFormatting sqref="C13 C34">
    <cfRule type="expression" dxfId="2" priority="1">
      <formula>Method_2</formula>
    </cfRule>
  </conditionalFormatting>
  <dataValidations count="2">
    <dataValidation type="list" allowBlank="1" showInputMessage="1" showErrorMessage="1" sqref="D40">
      <formula1>$P$45:$P$51</formula1>
    </dataValidation>
    <dataValidation type="list" allowBlank="1" showInputMessage="1" showErrorMessage="1" sqref="D36 D14 D42 D46:D47">
      <formula1>"Y,N"</formula1>
    </dataValidation>
  </dataValidation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dimension ref="A2:W268"/>
  <sheetViews>
    <sheetView topLeftCell="A214" workbookViewId="0">
      <selection activeCell="D227" sqref="D227"/>
    </sheetView>
  </sheetViews>
  <sheetFormatPr baseColWidth="10" defaultRowHeight="14.25"/>
  <cols>
    <col min="1" max="1" width="4.28515625" style="712" customWidth="1"/>
    <col min="2" max="2" width="6.28515625" style="712" customWidth="1"/>
    <col min="3" max="3" width="49.140625" style="712" customWidth="1"/>
    <col min="4" max="4" width="21.42578125" style="712" customWidth="1"/>
    <col min="5" max="5" width="30.140625" style="712" customWidth="1"/>
    <col min="6" max="6" width="20.140625" style="712" customWidth="1"/>
    <col min="7" max="7" width="32.28515625" style="712" customWidth="1"/>
    <col min="8" max="8" width="4.28515625" style="712" customWidth="1"/>
    <col min="9" max="10" width="11.42578125" style="712"/>
    <col min="11" max="11" width="15" style="712" customWidth="1"/>
    <col min="12" max="12" width="44.28515625" style="712" customWidth="1"/>
    <col min="13" max="13" width="11.42578125" style="712"/>
    <col min="14" max="14" width="36.42578125" style="712" customWidth="1"/>
    <col min="15" max="15" width="41.7109375" style="712" customWidth="1"/>
    <col min="16" max="16" width="19.28515625" style="712" customWidth="1"/>
    <col min="17" max="17" width="11.42578125" style="712"/>
    <col min="18" max="18" width="27" style="712" bestFit="1" customWidth="1"/>
    <col min="19" max="19" width="39" style="712" customWidth="1"/>
    <col min="20" max="20" width="32.42578125" style="712" customWidth="1"/>
    <col min="21" max="16384" width="11.42578125" style="712"/>
  </cols>
  <sheetData>
    <row r="2" spans="1:22" ht="27.75">
      <c r="A2" s="708"/>
      <c r="B2" s="708"/>
      <c r="C2" s="709" t="s">
        <v>770</v>
      </c>
      <c r="D2" s="710"/>
      <c r="E2" s="710"/>
      <c r="F2" s="710"/>
      <c r="G2" s="710"/>
      <c r="H2" s="710"/>
      <c r="I2" s="710"/>
      <c r="J2" s="710"/>
      <c r="K2" s="710"/>
      <c r="L2" s="710"/>
      <c r="M2" s="710"/>
      <c r="N2" s="709" t="str">
        <f>C2&amp;" - Reference Boxes"</f>
        <v>Details on SO2 abatement techniques  - Reference Boxes</v>
      </c>
      <c r="O2" s="710"/>
      <c r="P2" s="710"/>
      <c r="Q2" s="710"/>
      <c r="R2" s="708"/>
      <c r="S2" s="711"/>
      <c r="T2" s="708"/>
      <c r="U2" s="708"/>
      <c r="V2" s="708"/>
    </row>
    <row r="4" spans="1:22" ht="15" thickBot="1"/>
    <row r="5" spans="1:22" ht="15.75" thickBot="1">
      <c r="C5" s="1050" t="s">
        <v>1195</v>
      </c>
      <c r="D5" s="1051"/>
      <c r="E5" s="1052"/>
      <c r="G5" s="713"/>
    </row>
    <row r="6" spans="1:22" ht="15">
      <c r="C6" s="705" t="s">
        <v>1216</v>
      </c>
      <c r="D6" s="706">
        <v>200</v>
      </c>
      <c r="E6" s="714" t="s">
        <v>1057</v>
      </c>
      <c r="G6" s="715"/>
      <c r="K6" s="716"/>
      <c r="N6" s="1170" t="s">
        <v>817</v>
      </c>
      <c r="O6" s="1171"/>
      <c r="P6" s="717"/>
    </row>
    <row r="7" spans="1:22">
      <c r="C7" s="705" t="s">
        <v>274</v>
      </c>
      <c r="D7" s="718">
        <f>(D8-D6)/D8*100</f>
        <v>84.74994912692712</v>
      </c>
      <c r="E7" s="714" t="s">
        <v>87</v>
      </c>
      <c r="K7" s="716"/>
      <c r="N7" s="719"/>
      <c r="O7" s="720"/>
      <c r="P7" s="721"/>
    </row>
    <row r="8" spans="1:22" ht="15">
      <c r="C8" s="705" t="s">
        <v>993</v>
      </c>
      <c r="D8" s="722">
        <f>'Solid fuels - emission calc.'!J106</f>
        <v>1311.4710348484239</v>
      </c>
      <c r="E8" s="714" t="s">
        <v>1057</v>
      </c>
      <c r="K8" s="716"/>
      <c r="N8" s="723" t="s">
        <v>1223</v>
      </c>
      <c r="O8" s="724"/>
      <c r="P8" s="725"/>
    </row>
    <row r="9" spans="1:22" ht="15">
      <c r="C9" s="1189" t="s">
        <v>1196</v>
      </c>
      <c r="D9" s="1190"/>
      <c r="E9" s="1191"/>
      <c r="K9" s="716"/>
      <c r="N9" s="723" t="s">
        <v>818</v>
      </c>
      <c r="O9" s="724"/>
      <c r="P9" s="725"/>
      <c r="Q9" s="712" t="s">
        <v>819</v>
      </c>
    </row>
    <row r="10" spans="1:22">
      <c r="C10" s="705" t="s">
        <v>967</v>
      </c>
      <c r="D10" s="726">
        <v>96</v>
      </c>
      <c r="E10" s="714" t="s">
        <v>87</v>
      </c>
      <c r="F10" s="712" t="s">
        <v>820</v>
      </c>
      <c r="K10" s="716"/>
      <c r="N10" s="723" t="s">
        <v>821</v>
      </c>
      <c r="O10" s="724"/>
      <c r="P10" s="727"/>
    </row>
    <row r="11" spans="1:22">
      <c r="C11" s="705" t="s">
        <v>968</v>
      </c>
      <c r="D11" s="726">
        <v>40</v>
      </c>
      <c r="E11" s="727" t="s">
        <v>822</v>
      </c>
      <c r="K11" s="716"/>
      <c r="N11" s="723" t="s">
        <v>956</v>
      </c>
      <c r="O11" s="724"/>
      <c r="P11" s="727"/>
    </row>
    <row r="12" spans="1:22">
      <c r="C12" s="705" t="s">
        <v>823</v>
      </c>
      <c r="D12" s="726">
        <v>96</v>
      </c>
      <c r="E12" s="714" t="s">
        <v>87</v>
      </c>
      <c r="K12" s="716"/>
      <c r="N12" s="723"/>
      <c r="O12" s="724"/>
      <c r="P12" s="727"/>
    </row>
    <row r="13" spans="1:22">
      <c r="C13" s="705" t="s">
        <v>824</v>
      </c>
      <c r="D13" s="728">
        <v>80</v>
      </c>
      <c r="E13" s="727" t="s">
        <v>957</v>
      </c>
      <c r="K13" s="716"/>
      <c r="N13" s="723" t="s">
        <v>825</v>
      </c>
      <c r="O13" s="724"/>
      <c r="P13" s="727" t="s">
        <v>826</v>
      </c>
      <c r="Q13" s="712" t="s">
        <v>827</v>
      </c>
    </row>
    <row r="14" spans="1:22">
      <c r="C14" s="705" t="s">
        <v>969</v>
      </c>
      <c r="D14" s="726">
        <v>96</v>
      </c>
      <c r="E14" s="714" t="s">
        <v>87</v>
      </c>
      <c r="K14" s="716"/>
      <c r="N14" s="723" t="s">
        <v>829</v>
      </c>
      <c r="O14" s="724"/>
      <c r="P14" s="729"/>
    </row>
    <row r="15" spans="1:22" ht="15" thickBot="1">
      <c r="C15" s="705" t="s">
        <v>970</v>
      </c>
      <c r="D15" s="728">
        <v>80</v>
      </c>
      <c r="E15" s="727" t="s">
        <v>957</v>
      </c>
      <c r="F15" s="730"/>
      <c r="K15" s="716"/>
      <c r="N15" s="731" t="s">
        <v>975</v>
      </c>
      <c r="O15" s="732"/>
      <c r="P15" s="733"/>
    </row>
    <row r="16" spans="1:22">
      <c r="C16" s="734" t="s">
        <v>971</v>
      </c>
      <c r="D16" s="728" t="s">
        <v>95</v>
      </c>
      <c r="E16" s="727" t="s">
        <v>85</v>
      </c>
      <c r="K16" s="716"/>
    </row>
    <row r="17" spans="3:20">
      <c r="C17" s="734" t="s">
        <v>972</v>
      </c>
      <c r="D17" s="726">
        <v>96</v>
      </c>
      <c r="E17" s="714" t="s">
        <v>87</v>
      </c>
      <c r="K17" s="716"/>
    </row>
    <row r="18" spans="3:20" ht="15" thickBot="1">
      <c r="C18" s="734" t="s">
        <v>973</v>
      </c>
      <c r="D18" s="728">
        <v>80</v>
      </c>
      <c r="E18" s="727" t="s">
        <v>974</v>
      </c>
      <c r="K18" s="716"/>
    </row>
    <row r="19" spans="3:20" ht="15">
      <c r="C19" s="735" t="s">
        <v>828</v>
      </c>
      <c r="D19" s="722"/>
      <c r="E19" s="714"/>
      <c r="F19" s="736"/>
      <c r="K19" s="716"/>
      <c r="N19" s="1170" t="s">
        <v>835</v>
      </c>
      <c r="O19" s="1171"/>
      <c r="P19" s="1172"/>
      <c r="R19" s="1170" t="s">
        <v>836</v>
      </c>
      <c r="S19" s="1171"/>
      <c r="T19" s="1172"/>
    </row>
    <row r="20" spans="3:20" ht="15">
      <c r="C20" s="723" t="s">
        <v>830</v>
      </c>
      <c r="D20" s="737">
        <v>-0.15</v>
      </c>
      <c r="E20" s="727" t="s">
        <v>831</v>
      </c>
      <c r="F20" s="712" t="s">
        <v>832</v>
      </c>
      <c r="K20" s="716"/>
      <c r="N20" s="723" t="s">
        <v>1224</v>
      </c>
      <c r="O20" s="724"/>
      <c r="P20" s="725"/>
      <c r="R20" s="723" t="s">
        <v>976</v>
      </c>
      <c r="S20" s="724"/>
      <c r="T20" s="725"/>
    </row>
    <row r="21" spans="3:20">
      <c r="C21" s="723" t="s">
        <v>1030</v>
      </c>
      <c r="D21" s="737">
        <v>20</v>
      </c>
      <c r="E21" s="727" t="s">
        <v>831</v>
      </c>
      <c r="K21" s="716"/>
      <c r="N21" s="723" t="s">
        <v>837</v>
      </c>
      <c r="O21" s="724"/>
      <c r="P21" s="725"/>
      <c r="R21" s="723" t="s">
        <v>838</v>
      </c>
      <c r="S21" s="724"/>
      <c r="T21" s="725"/>
    </row>
    <row r="22" spans="3:20" ht="15">
      <c r="C22" s="738" t="s">
        <v>834</v>
      </c>
      <c r="D22" s="722"/>
      <c r="E22" s="714"/>
      <c r="K22" s="716"/>
      <c r="N22" s="723" t="s">
        <v>839</v>
      </c>
      <c r="O22" s="724"/>
      <c r="P22" s="727"/>
      <c r="R22" s="723" t="s">
        <v>840</v>
      </c>
      <c r="S22" s="724"/>
      <c r="T22" s="727"/>
    </row>
    <row r="23" spans="3:20">
      <c r="C23" s="723" t="s">
        <v>830</v>
      </c>
      <c r="D23" s="737">
        <v>0</v>
      </c>
      <c r="E23" s="727" t="s">
        <v>831</v>
      </c>
      <c r="K23" s="716"/>
      <c r="N23" s="723" t="s">
        <v>842</v>
      </c>
      <c r="O23" s="724"/>
      <c r="P23" s="727"/>
      <c r="R23" s="723" t="s">
        <v>843</v>
      </c>
      <c r="S23" s="724"/>
      <c r="T23" s="727"/>
    </row>
    <row r="24" spans="3:20">
      <c r="C24" s="723" t="s">
        <v>833</v>
      </c>
      <c r="D24" s="737">
        <v>20</v>
      </c>
      <c r="E24" s="727" t="s">
        <v>831</v>
      </c>
      <c r="K24" s="716"/>
      <c r="N24" s="723" t="s">
        <v>845</v>
      </c>
      <c r="O24" s="724"/>
      <c r="P24" s="727"/>
      <c r="R24" s="723" t="s">
        <v>846</v>
      </c>
      <c r="S24" s="724"/>
      <c r="T24" s="727"/>
    </row>
    <row r="25" spans="3:20" ht="15.75" thickBot="1">
      <c r="C25" s="738" t="s">
        <v>977</v>
      </c>
      <c r="D25" s="722"/>
      <c r="E25" s="714"/>
      <c r="K25" s="716"/>
      <c r="N25" s="731" t="s">
        <v>847</v>
      </c>
      <c r="O25" s="732"/>
      <c r="P25" s="733"/>
      <c r="R25" s="723" t="s">
        <v>1033</v>
      </c>
      <c r="S25" s="724"/>
      <c r="T25" s="727"/>
    </row>
    <row r="26" spans="3:20" ht="15">
      <c r="C26" s="738" t="s">
        <v>978</v>
      </c>
      <c r="D26" s="722"/>
      <c r="E26" s="725"/>
      <c r="K26" s="716"/>
      <c r="R26" s="723" t="s">
        <v>1031</v>
      </c>
      <c r="S26" s="724"/>
      <c r="T26" s="727"/>
    </row>
    <row r="27" spans="3:20">
      <c r="C27" s="723" t="s">
        <v>830</v>
      </c>
      <c r="D27" s="737">
        <v>0</v>
      </c>
      <c r="E27" s="727" t="s">
        <v>831</v>
      </c>
      <c r="K27" s="716"/>
      <c r="R27" s="723" t="s">
        <v>1034</v>
      </c>
      <c r="S27" s="724"/>
      <c r="T27" s="727"/>
    </row>
    <row r="28" spans="3:20" ht="15" thickBot="1">
      <c r="C28" s="723" t="s">
        <v>833</v>
      </c>
      <c r="D28" s="737">
        <v>40</v>
      </c>
      <c r="E28" s="727" t="s">
        <v>831</v>
      </c>
      <c r="K28" s="716"/>
      <c r="R28" s="731" t="s">
        <v>1032</v>
      </c>
      <c r="S28" s="732"/>
      <c r="T28" s="733"/>
    </row>
    <row r="29" spans="3:20">
      <c r="C29" s="719" t="s">
        <v>979</v>
      </c>
      <c r="D29" s="737"/>
      <c r="E29" s="727"/>
      <c r="K29" s="716"/>
    </row>
    <row r="30" spans="3:20">
      <c r="C30" s="719" t="s">
        <v>830</v>
      </c>
      <c r="D30" s="737"/>
      <c r="E30" s="727"/>
      <c r="K30" s="716"/>
    </row>
    <row r="31" spans="3:20">
      <c r="C31" s="719" t="s">
        <v>833</v>
      </c>
      <c r="D31" s="737"/>
      <c r="E31" s="727"/>
      <c r="K31" s="716"/>
    </row>
    <row r="32" spans="3:20">
      <c r="C32" s="723"/>
      <c r="D32" s="724"/>
      <c r="E32" s="727"/>
    </row>
    <row r="33" spans="3:23" ht="15">
      <c r="C33" s="1192" t="s">
        <v>771</v>
      </c>
      <c r="D33" s="1193"/>
      <c r="E33" s="1194"/>
    </row>
    <row r="34" spans="3:23" ht="15">
      <c r="C34" s="739" t="s">
        <v>112</v>
      </c>
      <c r="D34" s="740"/>
      <c r="E34" s="741"/>
    </row>
    <row r="35" spans="3:23">
      <c r="C35" s="700" t="s">
        <v>1058</v>
      </c>
      <c r="D35" s="742" t="s">
        <v>44</v>
      </c>
      <c r="E35" s="743" t="s">
        <v>63</v>
      </c>
      <c r="F35" s="712" t="s">
        <v>841</v>
      </c>
    </row>
    <row r="36" spans="3:23">
      <c r="C36" s="700" t="s">
        <v>1059</v>
      </c>
      <c r="D36" s="744">
        <v>0.4</v>
      </c>
      <c r="E36" s="745" t="s">
        <v>109</v>
      </c>
      <c r="F36" s="712" t="s">
        <v>844</v>
      </c>
    </row>
    <row r="37" spans="3:23">
      <c r="C37" s="700" t="s">
        <v>1044</v>
      </c>
      <c r="D37" s="746">
        <f>IF(D35="Y",M64,"not valid")</f>
        <v>728.5950193602356</v>
      </c>
      <c r="E37" s="714" t="s">
        <v>1057</v>
      </c>
    </row>
    <row r="38" spans="3:23">
      <c r="C38" s="700" t="s">
        <v>1043</v>
      </c>
      <c r="D38" s="747">
        <f>IF(D35="y",('Solid fuels - emission calc.'!J106-M64)/('Solid fuels - emission calc.'!J106-D6)*100,"n/a")</f>
        <v>52.44185383271617</v>
      </c>
      <c r="E38" s="743" t="s">
        <v>87</v>
      </c>
    </row>
    <row r="39" spans="3:23">
      <c r="C39" s="700" t="s">
        <v>848</v>
      </c>
      <c r="D39" s="748">
        <f>IF(D35="y",(M64-D6)/M64*100,D7)</f>
        <v>72.549908428468825</v>
      </c>
      <c r="E39" s="743" t="s">
        <v>87</v>
      </c>
    </row>
    <row r="40" spans="3:23" ht="15" thickBot="1">
      <c r="C40" s="700"/>
      <c r="D40" s="749"/>
      <c r="E40" s="743"/>
    </row>
    <row r="41" spans="3:23" ht="15">
      <c r="C41" s="723"/>
      <c r="D41" s="724"/>
      <c r="E41" s="727"/>
      <c r="N41" s="1181" t="s">
        <v>849</v>
      </c>
      <c r="O41" s="1182"/>
      <c r="P41" s="717"/>
      <c r="R41" s="1181" t="s">
        <v>850</v>
      </c>
      <c r="S41" s="1182"/>
      <c r="T41" s="1183"/>
    </row>
    <row r="42" spans="3:23" ht="15">
      <c r="C42" s="1186" t="s">
        <v>116</v>
      </c>
      <c r="D42" s="1187"/>
      <c r="E42" s="1188"/>
      <c r="G42" s="749"/>
      <c r="N42" s="723" t="s">
        <v>851</v>
      </c>
      <c r="O42" s="724"/>
      <c r="P42" s="727"/>
      <c r="R42" s="723" t="s">
        <v>852</v>
      </c>
      <c r="S42" s="724" t="s">
        <v>853</v>
      </c>
      <c r="T42" s="741">
        <v>1500</v>
      </c>
      <c r="U42" s="712" t="s">
        <v>827</v>
      </c>
    </row>
    <row r="43" spans="3:23">
      <c r="C43" s="723" t="s">
        <v>854</v>
      </c>
      <c r="D43" s="979">
        <f>IF(D35="Y",M64,'Solid fuels - emission calc.'!J106)</f>
        <v>728.5950193602356</v>
      </c>
      <c r="E43" s="714" t="s">
        <v>1057</v>
      </c>
      <c r="F43" s="712" t="s">
        <v>855</v>
      </c>
      <c r="N43" s="723" t="s">
        <v>856</v>
      </c>
      <c r="O43" s="701"/>
      <c r="P43" s="727" t="s">
        <v>38</v>
      </c>
      <c r="R43" s="723"/>
      <c r="S43" s="724" t="s">
        <v>857</v>
      </c>
      <c r="T43" s="741" t="s">
        <v>858</v>
      </c>
      <c r="U43" s="712" t="s">
        <v>859</v>
      </c>
    </row>
    <row r="44" spans="3:23">
      <c r="C44" s="723" t="s">
        <v>1060</v>
      </c>
      <c r="D44" s="742" t="s">
        <v>278</v>
      </c>
      <c r="E44" s="743" t="s">
        <v>63</v>
      </c>
      <c r="F44" s="750"/>
      <c r="N44" s="723" t="s">
        <v>860</v>
      </c>
      <c r="O44" s="701">
        <v>100</v>
      </c>
      <c r="P44" s="727" t="s">
        <v>38</v>
      </c>
      <c r="R44" s="723" t="s">
        <v>793</v>
      </c>
      <c r="S44" s="724"/>
      <c r="T44" s="741" t="s">
        <v>861</v>
      </c>
      <c r="U44" s="712" t="s">
        <v>827</v>
      </c>
    </row>
    <row r="45" spans="3:23">
      <c r="C45" s="723" t="s">
        <v>1061</v>
      </c>
      <c r="D45" s="742" t="s">
        <v>278</v>
      </c>
      <c r="E45" s="743" t="s">
        <v>63</v>
      </c>
      <c r="L45" s="712">
        <f>1/(100-10-20)</f>
        <v>1.4285714285714285E-2</v>
      </c>
      <c r="N45" s="723" t="s">
        <v>862</v>
      </c>
      <c r="O45" s="701"/>
      <c r="P45" s="727" t="s">
        <v>38</v>
      </c>
      <c r="R45" s="723" t="s">
        <v>863</v>
      </c>
      <c r="S45" s="724" t="s">
        <v>1161</v>
      </c>
      <c r="T45" s="751"/>
      <c r="U45" s="712" t="s">
        <v>827</v>
      </c>
    </row>
    <row r="46" spans="3:23">
      <c r="C46" s="723" t="s">
        <v>1062</v>
      </c>
      <c r="D46" s="742" t="s">
        <v>44</v>
      </c>
      <c r="E46" s="743" t="s">
        <v>63</v>
      </c>
      <c r="M46" s="752"/>
      <c r="N46" s="723" t="s">
        <v>864</v>
      </c>
      <c r="O46" s="749"/>
      <c r="P46" s="727" t="s">
        <v>38</v>
      </c>
      <c r="Q46" s="752"/>
      <c r="R46" s="723"/>
      <c r="S46" s="724" t="s">
        <v>865</v>
      </c>
      <c r="T46" s="753" t="s">
        <v>866</v>
      </c>
      <c r="U46" s="752"/>
      <c r="V46" s="752"/>
      <c r="W46" s="752"/>
    </row>
    <row r="47" spans="3:23" ht="15" thickBot="1">
      <c r="C47" s="723" t="s">
        <v>792</v>
      </c>
      <c r="D47" s="581">
        <v>200</v>
      </c>
      <c r="E47" s="714" t="s">
        <v>1057</v>
      </c>
      <c r="M47" s="752"/>
      <c r="N47" s="731" t="s">
        <v>1010</v>
      </c>
      <c r="O47" s="732"/>
      <c r="P47" s="754"/>
      <c r="Q47" s="752"/>
      <c r="R47" s="731" t="s">
        <v>793</v>
      </c>
      <c r="S47" s="732"/>
      <c r="T47" s="755">
        <v>0.99</v>
      </c>
      <c r="U47" s="712" t="s">
        <v>867</v>
      </c>
      <c r="V47" s="752"/>
      <c r="W47" s="752"/>
    </row>
    <row r="48" spans="3:23" ht="28.5" thickBot="1">
      <c r="C48" s="723" t="s">
        <v>995</v>
      </c>
      <c r="D48" s="748">
        <f>(1-D47/D43)*100</f>
        <v>72.549908428468825</v>
      </c>
      <c r="E48" s="743" t="s">
        <v>87</v>
      </c>
      <c r="M48" s="756"/>
      <c r="P48" s="756"/>
      <c r="Q48" s="756"/>
      <c r="R48" s="756"/>
      <c r="S48" s="756"/>
      <c r="T48" s="756"/>
      <c r="U48" s="756"/>
      <c r="V48" s="756"/>
      <c r="W48" s="756"/>
    </row>
    <row r="49" spans="3:23" ht="15">
      <c r="C49" s="723" t="s">
        <v>281</v>
      </c>
      <c r="D49" s="757">
        <f>(1-D47/D6)*100</f>
        <v>0</v>
      </c>
      <c r="E49" s="743" t="s">
        <v>87</v>
      </c>
      <c r="M49" s="752"/>
      <c r="N49" s="1181" t="s">
        <v>868</v>
      </c>
      <c r="O49" s="1182"/>
      <c r="P49" s="1183"/>
      <c r="Q49" s="752"/>
      <c r="R49" s="752"/>
      <c r="S49" s="752"/>
      <c r="T49" s="752"/>
      <c r="U49" s="752"/>
      <c r="V49" s="752"/>
      <c r="W49" s="752"/>
    </row>
    <row r="50" spans="3:23" ht="15" thickBot="1">
      <c r="C50" s="723" t="s">
        <v>803</v>
      </c>
      <c r="D50" s="758">
        <v>1</v>
      </c>
      <c r="E50" s="741"/>
      <c r="F50" s="712" t="s">
        <v>869</v>
      </c>
      <c r="M50" s="752"/>
      <c r="N50" s="731" t="s">
        <v>870</v>
      </c>
      <c r="O50" s="732"/>
      <c r="P50" s="733"/>
      <c r="Q50" s="712" t="s">
        <v>859</v>
      </c>
      <c r="R50" s="752"/>
      <c r="S50" s="752"/>
      <c r="T50" s="752"/>
      <c r="U50" s="752"/>
      <c r="V50" s="752"/>
      <c r="W50" s="752"/>
    </row>
    <row r="51" spans="3:23" ht="15" thickBot="1">
      <c r="C51" s="731" t="s">
        <v>871</v>
      </c>
      <c r="D51" s="759">
        <v>1</v>
      </c>
      <c r="E51" s="760"/>
      <c r="F51" s="712" t="s">
        <v>841</v>
      </c>
      <c r="M51" s="752"/>
      <c r="N51" s="724"/>
      <c r="O51" s="724"/>
      <c r="P51" s="724"/>
      <c r="Q51" s="752"/>
      <c r="R51" s="752"/>
      <c r="S51" s="752"/>
      <c r="T51" s="752"/>
      <c r="U51" s="752"/>
      <c r="V51" s="752"/>
      <c r="W51" s="752"/>
    </row>
    <row r="52" spans="3:23" ht="15" thickBot="1"/>
    <row r="53" spans="3:23" ht="15">
      <c r="C53" s="761"/>
      <c r="D53" s="1051" t="s">
        <v>160</v>
      </c>
      <c r="E53" s="1051"/>
      <c r="F53" s="1051" t="s">
        <v>164</v>
      </c>
      <c r="G53" s="1052"/>
      <c r="H53" s="762"/>
      <c r="L53" s="1050" t="s">
        <v>165</v>
      </c>
      <c r="M53" s="1051"/>
      <c r="N53" s="1052"/>
    </row>
    <row r="54" spans="3:23" ht="16.5">
      <c r="C54" s="763" t="s">
        <v>1225</v>
      </c>
      <c r="D54" s="634">
        <f>'Solid fuels - emission calc.'!D97</f>
        <v>22.44348755</v>
      </c>
      <c r="E54" s="745" t="s">
        <v>89</v>
      </c>
      <c r="F54" s="764">
        <f>'Solid fuels - emission calc.'!F97</f>
        <v>10</v>
      </c>
      <c r="G54" s="714" t="s">
        <v>89</v>
      </c>
      <c r="H54" s="762"/>
      <c r="K54" s="765"/>
      <c r="L54" s="763" t="s">
        <v>1225</v>
      </c>
      <c r="M54" s="764">
        <f>IF('Solid fuels - emission calc.'!D31="y",D54*'Solid fuels - emission calc.'!D33/100+F54*'Solid fuels - emission calc.'!D32/100,D54)</f>
        <v>22.44348755</v>
      </c>
      <c r="N54" s="766" t="s">
        <v>89</v>
      </c>
    </row>
    <row r="55" spans="3:23" ht="18.75">
      <c r="C55" s="763" t="s">
        <v>1226</v>
      </c>
      <c r="D55" s="634">
        <f>IF(D35="Y",D36,'Solid fuels - emission calc.'!D98)</f>
        <v>0.4</v>
      </c>
      <c r="E55" s="745" t="s">
        <v>109</v>
      </c>
      <c r="F55" s="764">
        <f>'Solid fuels - emission calc.'!F98</f>
        <v>0.1</v>
      </c>
      <c r="G55" s="714" t="s">
        <v>109</v>
      </c>
      <c r="H55" s="762"/>
      <c r="K55" s="765"/>
      <c r="L55" s="763" t="s">
        <v>1226</v>
      </c>
      <c r="M55" s="764">
        <f>IF('Solid fuels - emission calc.'!D$31="y",D55*'Solid fuels - emission calc.'!D$33/100+F55*'Solid fuels - emission calc.'!D$32/100,D55)</f>
        <v>0.4</v>
      </c>
      <c r="N55" s="766" t="s">
        <v>109</v>
      </c>
    </row>
    <row r="56" spans="3:23" ht="18.75">
      <c r="C56" s="763" t="s">
        <v>1227</v>
      </c>
      <c r="D56" s="764">
        <f>'Solid fuels - emission calc.'!D99</f>
        <v>14.49</v>
      </c>
      <c r="E56" s="745" t="s">
        <v>91</v>
      </c>
      <c r="F56" s="764">
        <f>'Solid fuels - emission calc.'!F99</f>
        <v>2</v>
      </c>
      <c r="G56" s="714" t="s">
        <v>91</v>
      </c>
      <c r="H56" s="762"/>
      <c r="K56" s="765"/>
      <c r="L56" s="763" t="s">
        <v>1227</v>
      </c>
      <c r="M56" s="764">
        <f>IF('Solid fuels - emission calc.'!D$31="y",D56*'Solid fuels - emission calc.'!D$33/100+F56*'Solid fuels - emission calc.'!D$32/100,D56)</f>
        <v>14.49</v>
      </c>
      <c r="N56" s="766" t="s">
        <v>91</v>
      </c>
    </row>
    <row r="57" spans="3:23" ht="18.75">
      <c r="C57" s="763" t="s">
        <v>1228</v>
      </c>
      <c r="D57" s="767">
        <f>'Solid fuels - emission calc.'!D55</f>
        <v>7.71</v>
      </c>
      <c r="E57" s="745" t="s">
        <v>110</v>
      </c>
      <c r="F57" s="764">
        <f>'Solid fuels - emission calc.'!H55</f>
        <v>25</v>
      </c>
      <c r="G57" s="714" t="s">
        <v>110</v>
      </c>
      <c r="H57" s="762"/>
      <c r="K57" s="765"/>
      <c r="L57" s="763" t="s">
        <v>1228</v>
      </c>
      <c r="M57" s="764">
        <f>IF('Solid fuels - emission calc.'!D$31="y",D57*'Solid fuels - emission calc.'!D$33/100+F57*'Solid fuels - emission calc.'!D$32/100,D57)</f>
        <v>7.71</v>
      </c>
      <c r="N57" s="714" t="s">
        <v>110</v>
      </c>
    </row>
    <row r="58" spans="3:23" ht="18.75">
      <c r="C58" s="763" t="s">
        <v>1229</v>
      </c>
      <c r="D58" s="768">
        <f>'Solid fuels - emission calc.'!D100</f>
        <v>7.9437791808304761</v>
      </c>
      <c r="E58" s="745" t="s">
        <v>337</v>
      </c>
      <c r="F58" s="764">
        <f>'Solid fuels - emission calc.'!F100</f>
        <v>3.7588055555555551</v>
      </c>
      <c r="G58" s="714" t="s">
        <v>340</v>
      </c>
      <c r="H58" s="762"/>
      <c r="K58" s="765"/>
      <c r="L58" s="763" t="s">
        <v>1229</v>
      </c>
      <c r="M58" s="768">
        <f>IF('Solid fuels - emission calc.'!D31="y",D58*'Solid fuels - emission calc.'!D33/100+F58*'Solid fuels - emission calc.'!D32/100,D58)</f>
        <v>7.9437791808304761</v>
      </c>
      <c r="N58" s="766" t="s">
        <v>343</v>
      </c>
    </row>
    <row r="59" spans="3:23" ht="18.75">
      <c r="C59" s="763" t="s">
        <v>1230</v>
      </c>
      <c r="D59" s="769">
        <f>'Solid fuels - emission calc.'!D101</f>
        <v>13952545236.595251</v>
      </c>
      <c r="E59" s="770" t="s">
        <v>338</v>
      </c>
      <c r="F59" s="771">
        <f>'Solid fuels - emission calc.'!F101</f>
        <v>14817211499.999994</v>
      </c>
      <c r="G59" s="772" t="s">
        <v>338</v>
      </c>
      <c r="H59" s="762"/>
      <c r="K59" s="765"/>
      <c r="L59" s="763" t="s">
        <v>1230</v>
      </c>
      <c r="M59" s="769">
        <f>IF('Solid fuels - emission calc.'!D31="y",D59*'Solid fuels - emission calc.'!D33/100+F59*'Solid fuels - emission calc.'!D32/100,D59)</f>
        <v>13952545236.595251</v>
      </c>
      <c r="N59" s="766" t="s">
        <v>338</v>
      </c>
    </row>
    <row r="60" spans="3:23" ht="18.75">
      <c r="C60" s="763" t="s">
        <v>1231</v>
      </c>
      <c r="D60" s="768">
        <f>'Solid fuels - emission calc.'!D102</f>
        <v>7.4344897670971424</v>
      </c>
      <c r="E60" s="770" t="s">
        <v>341</v>
      </c>
      <c r="F60" s="764">
        <f>'Solid fuels - emission calc.'!F102</f>
        <v>3.0059301441805992</v>
      </c>
      <c r="G60" s="772" t="s">
        <v>342</v>
      </c>
      <c r="H60" s="762"/>
      <c r="K60" s="765"/>
      <c r="L60" s="763" t="s">
        <v>1231</v>
      </c>
      <c r="M60" s="768">
        <f>IF('Solid fuels - emission calc.'!D31="y",D60*'Solid fuels - emission calc.'!D33/100+F60*'Solid fuels - emission calc.'!D32/100,D60)</f>
        <v>7.4344897670971424</v>
      </c>
      <c r="N60" s="766" t="s">
        <v>344</v>
      </c>
    </row>
    <row r="61" spans="3:23" ht="18.75">
      <c r="C61" s="763" t="s">
        <v>1232</v>
      </c>
      <c r="D61" s="773">
        <f>'Solid fuels - emission calc.'!D103</f>
        <v>13058023445.156113</v>
      </c>
      <c r="E61" s="770" t="s">
        <v>339</v>
      </c>
      <c r="F61" s="771">
        <f>'Solid fuels - emission calc.'!F103</f>
        <v>11849376628.359922</v>
      </c>
      <c r="G61" s="772" t="s">
        <v>339</v>
      </c>
      <c r="H61" s="762"/>
      <c r="K61" s="765"/>
      <c r="L61" s="763" t="s">
        <v>1232</v>
      </c>
      <c r="M61" s="774">
        <f>M60/M54*'Solid fuels - emission calc.'!G33*3600*8760*'Solid fuels - emission calc.'!D20/100</f>
        <v>13058023445.156113</v>
      </c>
      <c r="N61" s="766" t="s">
        <v>339</v>
      </c>
      <c r="O61" s="775"/>
    </row>
    <row r="62" spans="3:23" ht="18.75">
      <c r="C62" s="763" t="s">
        <v>1233</v>
      </c>
      <c r="D62" s="776">
        <f>'Solid fuels - emission calc.'!D104</f>
        <v>3.7806442913451836</v>
      </c>
      <c r="E62" s="770" t="s">
        <v>1234</v>
      </c>
      <c r="F62" s="776">
        <f>'Solid fuels - emission calc.'!F104</f>
        <v>4.3419172681931268</v>
      </c>
      <c r="G62" s="772" t="s">
        <v>1234</v>
      </c>
      <c r="H62" s="762"/>
      <c r="K62" s="765"/>
      <c r="L62" s="763" t="s">
        <v>1233</v>
      </c>
      <c r="M62" s="777">
        <f>((D62*D61*'Solid fuels - emission calc.'!D33)+(F62*F61*'Solid fuels - emission calc.'!D32))/(D61*'Solid fuels - emission calc.'!D33+F61*'Solid fuels - emission calc.'!D32)</f>
        <v>3.7806442913451836</v>
      </c>
      <c r="N62" s="766" t="s">
        <v>1234</v>
      </c>
      <c r="O62" s="775"/>
    </row>
    <row r="63" spans="3:23" ht="18.75">
      <c r="C63" s="763" t="s">
        <v>1235</v>
      </c>
      <c r="D63" s="778">
        <f>'Solid fuels - emission calc.'!D105</f>
        <v>0.87111273231092379</v>
      </c>
      <c r="E63" s="745" t="s">
        <v>1236</v>
      </c>
      <c r="F63" s="764">
        <f>'Solid fuels - emission calc.'!F105</f>
        <v>0.90046377134140798</v>
      </c>
      <c r="G63" s="714" t="s">
        <v>1236</v>
      </c>
      <c r="H63" s="762"/>
      <c r="K63" s="765"/>
      <c r="L63" s="763" t="s">
        <v>1235</v>
      </c>
      <c r="M63" s="776">
        <f>(21-'Solid fuels - emission calc.'!G3)/(21-M62)</f>
        <v>0.87111273231092379</v>
      </c>
      <c r="N63" s="766" t="s">
        <v>1237</v>
      </c>
    </row>
    <row r="64" spans="3:23" ht="18.75">
      <c r="C64" s="779" t="s">
        <v>1238</v>
      </c>
      <c r="D64" s="764">
        <f>'Solid fuels - emission calc.'!D106/'Solid fuels - emission calc.'!D98*D55</f>
        <v>728.5950193602356</v>
      </c>
      <c r="E64" s="745" t="s">
        <v>1239</v>
      </c>
      <c r="F64" s="780">
        <f>'Solid fuels - emission calc.'!F106</f>
        <v>436.95190506843556</v>
      </c>
      <c r="G64" s="714" t="s">
        <v>1239</v>
      </c>
      <c r="H64" s="762"/>
      <c r="K64" s="765"/>
      <c r="L64" s="705" t="s">
        <v>1238</v>
      </c>
      <c r="M64" s="764">
        <f>IF('Solid fuels - emission calc.'!D31="y",(D64*D$61*'Solid fuels - emission calc.'!D33/100+F64*F$61*'Solid fuels - emission calc.'!D32/100)/M61,D64)</f>
        <v>728.5950193602356</v>
      </c>
      <c r="N64" s="766" t="s">
        <v>1240</v>
      </c>
    </row>
    <row r="65" spans="1:22" ht="18.75">
      <c r="C65" s="763" t="s">
        <v>1241</v>
      </c>
      <c r="D65" s="764">
        <f>+(D55*(100-D56-D57)/10000)*100</f>
        <v>0.31120000000000009</v>
      </c>
      <c r="E65" s="781" t="s">
        <v>797</v>
      </c>
      <c r="F65" s="780">
        <f>+(F55*(100-F56-F57)/10000)*100</f>
        <v>7.3000000000000009E-2</v>
      </c>
      <c r="G65" s="766" t="s">
        <v>797</v>
      </c>
      <c r="H65" s="762"/>
      <c r="K65" s="765"/>
      <c r="L65" s="763" t="s">
        <v>1241</v>
      </c>
      <c r="M65" s="780">
        <f>IF('Solid fuels - emission calc.'!D$31="y",D65*'Solid fuels - emission calc.'!D$33/100+F65*'Solid fuels - emission calc.'!D$32/100,D65)</f>
        <v>0.31120000000000009</v>
      </c>
      <c r="N65" s="766" t="s">
        <v>797</v>
      </c>
    </row>
    <row r="66" spans="1:22" ht="18.75">
      <c r="C66" s="705" t="s">
        <v>1242</v>
      </c>
      <c r="D66" s="634">
        <f>1000*D65/100*((100-'Solid fuels - emission calc.'!$D$43)/100)/D54*'Solid fuels - emission calc.'!F9/'Solid fuels - emission calc.'!D9</f>
        <v>0.27705925410641985</v>
      </c>
      <c r="E66" s="745" t="s">
        <v>799</v>
      </c>
      <c r="F66" s="780">
        <f>1000*F65/100*((100-'Solid fuels - emission calc.'!$D43)/100)/F54*'Solid fuels - emission calc.'!F9/'Solid fuels - emission calc.'!D9</f>
        <v>0.14586338116032441</v>
      </c>
      <c r="G66" s="714" t="s">
        <v>799</v>
      </c>
      <c r="H66" s="762"/>
      <c r="K66" s="765"/>
      <c r="L66" s="705" t="s">
        <v>1242</v>
      </c>
      <c r="M66" s="780">
        <f>IF('Solid fuels - emission calc.'!D$31="y",D66*'Solid fuels - emission calc.'!D$33/100+F66*'Solid fuels - emission calc.'!D$32/100,D66)</f>
        <v>0.27705925410641985</v>
      </c>
      <c r="N66" s="714" t="s">
        <v>799</v>
      </c>
    </row>
    <row r="67" spans="1:22" ht="15" thickBot="1">
      <c r="C67" s="782" t="s">
        <v>800</v>
      </c>
      <c r="D67" s="783">
        <f>3.6/('Solid fuels - emission calc.'!$D21*10)</f>
        <v>9.0000000000000011E-3</v>
      </c>
      <c r="E67" s="784" t="s">
        <v>801</v>
      </c>
      <c r="F67" s="783">
        <f>3.6/('Solid fuels - emission calc.'!$D21*10)</f>
        <v>9.0000000000000011E-3</v>
      </c>
      <c r="G67" s="784" t="s">
        <v>801</v>
      </c>
      <c r="H67" s="762"/>
      <c r="K67" s="785"/>
      <c r="L67" s="782" t="s">
        <v>800</v>
      </c>
      <c r="M67" s="780">
        <f>IF('Solid fuels - emission calc.'!D$31="y",D67*'Solid fuels - emission calc.'!D$33/100+F67*'Solid fuels - emission calc.'!D$32/100,D67)</f>
        <v>9.0000000000000011E-3</v>
      </c>
      <c r="N67" s="786" t="s">
        <v>801</v>
      </c>
    </row>
    <row r="70" spans="1:22" ht="27.75">
      <c r="A70" s="708"/>
      <c r="B70" s="710"/>
      <c r="C70" s="709" t="s">
        <v>184</v>
      </c>
      <c r="D70" s="710"/>
      <c r="E70" s="710"/>
      <c r="F70" s="710"/>
      <c r="G70" s="710"/>
      <c r="H70" s="710"/>
      <c r="I70" s="710"/>
      <c r="J70" s="710"/>
      <c r="K70" s="710"/>
      <c r="L70" s="710"/>
      <c r="M70" s="710"/>
      <c r="N70" s="709" t="s">
        <v>328</v>
      </c>
      <c r="O70" s="710"/>
      <c r="P70" s="710"/>
      <c r="Q70" s="710"/>
      <c r="R70" s="708"/>
      <c r="S70" s="708"/>
      <c r="T70" s="708"/>
      <c r="U70" s="708"/>
      <c r="V70" s="708"/>
    </row>
    <row r="71" spans="1:22" s="752" customFormat="1" ht="15" thickBot="1">
      <c r="A71" s="712"/>
      <c r="B71" s="712"/>
      <c r="C71" s="712"/>
      <c r="D71" s="712"/>
      <c r="E71" s="712"/>
      <c r="F71" s="712"/>
      <c r="G71" s="712"/>
      <c r="H71" s="712"/>
      <c r="I71" s="712"/>
      <c r="J71" s="712"/>
      <c r="K71" s="712"/>
      <c r="L71" s="787"/>
      <c r="M71" s="787"/>
      <c r="N71" s="787"/>
      <c r="O71" s="787"/>
      <c r="P71" s="787"/>
      <c r="Q71" s="712"/>
      <c r="R71" s="712"/>
      <c r="S71" s="787"/>
      <c r="T71" s="712"/>
    </row>
    <row r="72" spans="1:22" s="752" customFormat="1" ht="15.75" thickBot="1">
      <c r="A72" s="712"/>
      <c r="B72" s="712"/>
      <c r="C72" s="1114" t="s">
        <v>872</v>
      </c>
      <c r="D72" s="1115"/>
      <c r="E72" s="1116"/>
      <c r="F72" s="712"/>
      <c r="G72" s="89"/>
      <c r="H72" s="712"/>
      <c r="I72" s="712"/>
      <c r="J72" s="712"/>
      <c r="K72" s="712"/>
      <c r="L72" s="712"/>
      <c r="M72" s="89"/>
      <c r="N72" s="89"/>
      <c r="O72" s="89"/>
      <c r="P72" s="787"/>
      <c r="Q72" s="712"/>
      <c r="R72" s="89"/>
      <c r="S72" s="712"/>
      <c r="T72" s="712"/>
    </row>
    <row r="73" spans="1:22" s="752" customFormat="1">
      <c r="A73" s="712"/>
      <c r="B73" s="712"/>
      <c r="C73" s="723" t="s">
        <v>794</v>
      </c>
      <c r="D73" s="788">
        <f>+IF(D$35="Y",'Solid fuels - emission calc.'!$D$20*3.6*'Solid fuels - emission calc.'!$G$33/100*8760*('Solid fuels - emission calc.'!J$111-M$66)/1000,0)</f>
        <v>8737.3406375000595</v>
      </c>
      <c r="E73" s="789" t="s">
        <v>873</v>
      </c>
      <c r="F73" s="712"/>
      <c r="G73" s="712"/>
      <c r="H73" s="712"/>
      <c r="I73" s="712"/>
      <c r="J73" s="712"/>
      <c r="K73" s="712"/>
      <c r="L73" s="712"/>
      <c r="M73" s="790"/>
      <c r="N73" s="790"/>
      <c r="O73" s="790"/>
      <c r="P73" s="787"/>
      <c r="Q73" s="712"/>
      <c r="R73" s="790"/>
      <c r="S73" s="712"/>
      <c r="T73" s="712"/>
    </row>
    <row r="74" spans="1:22" s="752" customFormat="1">
      <c r="A74" s="712"/>
      <c r="B74" s="712"/>
      <c r="C74" s="723" t="s">
        <v>874</v>
      </c>
      <c r="D74" s="791">
        <v>5</v>
      </c>
      <c r="E74" s="789" t="s">
        <v>875</v>
      </c>
      <c r="F74" s="712" t="s">
        <v>841</v>
      </c>
      <c r="G74" s="712"/>
      <c r="H74" s="712"/>
      <c r="I74" s="712"/>
      <c r="J74" s="712"/>
      <c r="K74" s="712"/>
      <c r="L74" s="712"/>
      <c r="M74" s="787"/>
      <c r="N74" s="787"/>
      <c r="O74" s="787"/>
      <c r="P74" s="787"/>
      <c r="Q74" s="712"/>
      <c r="R74" s="787"/>
      <c r="S74" s="712"/>
      <c r="T74" s="712"/>
    </row>
    <row r="75" spans="1:22" s="752" customFormat="1">
      <c r="A75" s="712"/>
      <c r="B75" s="712"/>
      <c r="C75" s="723" t="s">
        <v>125</v>
      </c>
      <c r="D75" s="792" t="s">
        <v>876</v>
      </c>
      <c r="E75" s="789" t="s">
        <v>123</v>
      </c>
      <c r="F75" s="712"/>
      <c r="G75" s="712"/>
      <c r="H75" s="712"/>
      <c r="I75" s="712"/>
      <c r="J75" s="712"/>
      <c r="K75" s="712"/>
      <c r="L75" s="712"/>
      <c r="M75" s="787"/>
      <c r="N75" s="787"/>
      <c r="O75" s="787"/>
      <c r="P75" s="787"/>
      <c r="Q75" s="712"/>
      <c r="R75" s="787"/>
      <c r="S75" s="712"/>
      <c r="T75" s="712"/>
    </row>
    <row r="76" spans="1:22" s="752" customFormat="1">
      <c r="A76" s="712"/>
      <c r="B76" s="712"/>
      <c r="C76" s="723" t="s">
        <v>34</v>
      </c>
      <c r="D76" s="792" t="s">
        <v>1038</v>
      </c>
      <c r="E76" s="789" t="s">
        <v>877</v>
      </c>
      <c r="F76" s="712"/>
      <c r="G76" s="712"/>
      <c r="H76" s="712"/>
      <c r="I76" s="712"/>
      <c r="J76" s="712"/>
      <c r="K76" s="712"/>
      <c r="L76" s="712"/>
      <c r="M76" s="787"/>
      <c r="N76" s="787"/>
      <c r="O76" s="787"/>
      <c r="P76" s="787"/>
      <c r="Q76" s="712"/>
      <c r="R76" s="787"/>
      <c r="S76" s="712"/>
      <c r="T76" s="712"/>
    </row>
    <row r="77" spans="1:22" s="752" customFormat="1">
      <c r="A77" s="712"/>
      <c r="B77" s="712"/>
      <c r="C77" s="723" t="s">
        <v>878</v>
      </c>
      <c r="D77" s="793">
        <f>IF(D$73=0,0,('Solid fuels - emission calc.'!$D$20*'Solid fuels - emission calc.'!$G$33/100*3.6*8760/D$54)*'Solid fuels - emission calc.'!$D$33/100)*D$74</f>
        <v>8782057.581777215</v>
      </c>
      <c r="E77" s="789" t="s">
        <v>877</v>
      </c>
      <c r="F77" s="712"/>
      <c r="G77" s="712"/>
      <c r="H77" s="712"/>
      <c r="I77" s="712"/>
      <c r="J77" s="712"/>
      <c r="K77" s="712"/>
      <c r="L77" s="712"/>
      <c r="M77" s="787"/>
      <c r="N77" s="787"/>
      <c r="O77" s="787"/>
      <c r="P77" s="787"/>
      <c r="Q77" s="712"/>
      <c r="R77" s="787"/>
      <c r="S77" s="712"/>
      <c r="T77" s="712"/>
    </row>
    <row r="78" spans="1:22" s="752" customFormat="1">
      <c r="A78" s="712"/>
      <c r="B78" s="712"/>
      <c r="C78" s="723"/>
      <c r="D78" s="793">
        <f>IF(D$73=0,0,('Solid fuels - emission calc.'!$D$20*'Solid fuels - emission calc.'!$G$33/100*3.6*8760/D$54)*'Solid fuels - emission calc.'!$D$33/100)</f>
        <v>1756411.5163554428</v>
      </c>
      <c r="E78" s="789" t="s">
        <v>1082</v>
      </c>
      <c r="F78" s="712"/>
      <c r="G78" s="712"/>
      <c r="H78" s="712"/>
      <c r="I78" s="712"/>
      <c r="J78" s="712"/>
      <c r="K78" s="712"/>
      <c r="L78" s="712"/>
      <c r="M78" s="787"/>
      <c r="N78" s="787"/>
      <c r="O78" s="787"/>
      <c r="P78" s="787"/>
      <c r="Q78" s="787"/>
      <c r="R78" s="787"/>
      <c r="S78" s="712"/>
      <c r="T78" s="712"/>
    </row>
    <row r="79" spans="1:22" s="752" customFormat="1" ht="15">
      <c r="A79" s="712"/>
      <c r="B79" s="712"/>
      <c r="C79" s="794" t="s">
        <v>879</v>
      </c>
      <c r="D79" s="795">
        <f>D77</f>
        <v>8782057.581777215</v>
      </c>
      <c r="E79" s="796" t="s">
        <v>877</v>
      </c>
      <c r="F79" s="797"/>
      <c r="G79" s="712"/>
      <c r="H79" s="712"/>
      <c r="I79" s="712"/>
      <c r="J79" s="712"/>
      <c r="K79" s="712"/>
      <c r="L79" s="712"/>
      <c r="M79" s="787"/>
      <c r="N79" s="787"/>
      <c r="O79" s="787"/>
      <c r="P79" s="787"/>
      <c r="Q79" s="787"/>
      <c r="R79" s="787"/>
      <c r="S79" s="712"/>
      <c r="T79" s="712"/>
    </row>
    <row r="80" spans="1:22" s="752" customFormat="1" ht="15.75" thickBot="1">
      <c r="A80" s="712"/>
      <c r="B80" s="712"/>
      <c r="C80" s="798" t="s">
        <v>1198</v>
      </c>
      <c r="D80" s="799">
        <f>D79/D73</f>
        <v>1005.1179124326724</v>
      </c>
      <c r="E80" s="800" t="s">
        <v>880</v>
      </c>
      <c r="F80" s="712"/>
      <c r="G80" s="712"/>
      <c r="H80" s="712"/>
      <c r="I80" s="712"/>
      <c r="J80" s="712"/>
      <c r="K80" s="712"/>
      <c r="L80" s="712"/>
      <c r="M80" s="787"/>
      <c r="N80" s="787"/>
      <c r="O80" s="787"/>
      <c r="P80" s="787"/>
      <c r="Q80" s="787"/>
      <c r="R80" s="787"/>
      <c r="S80" s="712"/>
      <c r="T80" s="712"/>
    </row>
    <row r="81" spans="1:20" s="752" customFormat="1">
      <c r="A81" s="712"/>
      <c r="B81" s="712"/>
      <c r="C81" s="712"/>
      <c r="D81" s="712"/>
      <c r="E81" s="712"/>
      <c r="F81" s="730"/>
      <c r="G81" s="712"/>
      <c r="H81" s="712"/>
      <c r="I81" s="712"/>
      <c r="J81" s="712"/>
      <c r="K81" s="712"/>
      <c r="L81" s="712"/>
      <c r="M81" s="787"/>
      <c r="N81" s="787"/>
      <c r="O81" s="787"/>
      <c r="P81" s="787"/>
      <c r="Q81" s="787"/>
      <c r="R81" s="787"/>
      <c r="S81" s="712"/>
      <c r="T81" s="712"/>
    </row>
    <row r="82" spans="1:20" s="752" customFormat="1" ht="15" thickBot="1">
      <c r="A82" s="712"/>
      <c r="B82" s="712"/>
      <c r="C82" s="712"/>
      <c r="D82" s="712"/>
      <c r="E82" s="712"/>
      <c r="F82" s="730"/>
      <c r="G82" s="712"/>
      <c r="H82" s="712"/>
      <c r="I82" s="712"/>
      <c r="J82" s="712"/>
      <c r="K82" s="712"/>
      <c r="L82" s="712"/>
      <c r="M82" s="787"/>
      <c r="N82" s="787"/>
      <c r="O82" s="787"/>
      <c r="P82" s="787"/>
      <c r="Q82" s="787"/>
      <c r="R82" s="787"/>
      <c r="S82" s="712"/>
      <c r="T82" s="712"/>
    </row>
    <row r="83" spans="1:20" s="752" customFormat="1" ht="15">
      <c r="A83" s="712"/>
      <c r="B83" s="712"/>
      <c r="C83" s="1173" t="s">
        <v>796</v>
      </c>
      <c r="D83" s="1174"/>
      <c r="E83" s="1175"/>
      <c r="F83" s="730"/>
      <c r="G83" s="712"/>
      <c r="H83" s="712"/>
      <c r="I83" s="712"/>
      <c r="J83" s="712"/>
      <c r="K83" s="712"/>
      <c r="L83" s="712"/>
      <c r="M83" s="787"/>
      <c r="N83" s="787"/>
      <c r="O83" s="787"/>
      <c r="P83" s="787"/>
      <c r="Q83" s="787"/>
      <c r="R83" s="787"/>
      <c r="S83" s="712"/>
      <c r="T83" s="712"/>
    </row>
    <row r="84" spans="1:20" s="752" customFormat="1">
      <c r="A84" s="712"/>
      <c r="B84" s="712"/>
      <c r="C84" s="801" t="s">
        <v>1040</v>
      </c>
      <c r="D84" s="802" t="str">
        <f>+D44</f>
        <v>Y</v>
      </c>
      <c r="E84" s="743"/>
      <c r="F84" s="730"/>
      <c r="G84" s="712"/>
      <c r="H84" s="712"/>
      <c r="I84" s="712"/>
      <c r="J84" s="712"/>
      <c r="K84" s="712"/>
      <c r="L84" s="712"/>
      <c r="M84" s="787"/>
      <c r="N84" s="724"/>
      <c r="O84" s="724"/>
      <c r="P84" s="724"/>
      <c r="Q84" s="787"/>
      <c r="R84" s="787"/>
      <c r="S84" s="712"/>
      <c r="T84" s="712"/>
    </row>
    <row r="85" spans="1:20" s="752" customFormat="1" ht="15" thickBot="1">
      <c r="A85" s="712"/>
      <c r="B85" s="712"/>
      <c r="C85" s="803" t="s">
        <v>794</v>
      </c>
      <c r="D85" s="788">
        <f>+IF(D84="Y",'Solid fuels - emission calc.'!$D$20*3.6*'Solid fuels - emission calc.'!$G$33/100*8760*(M$66/1000)*(D$48/100),0)</f>
        <v>7923.6657894871059</v>
      </c>
      <c r="E85" s="804" t="s">
        <v>873</v>
      </c>
      <c r="F85" s="730"/>
      <c r="G85" s="712"/>
      <c r="H85" s="712"/>
      <c r="I85" s="712"/>
      <c r="J85" s="712"/>
      <c r="K85" s="712"/>
      <c r="L85" s="712"/>
      <c r="M85" s="787"/>
      <c r="N85" s="724"/>
      <c r="O85" s="724"/>
      <c r="P85" s="724"/>
      <c r="Q85" s="787"/>
      <c r="R85" s="787"/>
      <c r="S85" s="712"/>
      <c r="T85" s="712"/>
    </row>
    <row r="86" spans="1:20" s="752" customFormat="1" ht="15">
      <c r="A86" s="712"/>
      <c r="B86" s="712"/>
      <c r="C86" s="803" t="s">
        <v>881</v>
      </c>
      <c r="D86" s="581" t="s">
        <v>278</v>
      </c>
      <c r="E86" s="804" t="s">
        <v>85</v>
      </c>
      <c r="F86" s="730"/>
      <c r="G86" s="712"/>
      <c r="H86" s="712"/>
      <c r="I86" s="712"/>
      <c r="J86" s="712"/>
      <c r="K86" s="712"/>
      <c r="L86" s="712"/>
      <c r="M86" s="787"/>
      <c r="N86" s="1181" t="s">
        <v>883</v>
      </c>
      <c r="O86" s="1182"/>
      <c r="P86" s="1183"/>
      <c r="Q86" s="787"/>
      <c r="R86" s="787"/>
      <c r="S86" s="712"/>
      <c r="T86" s="712"/>
    </row>
    <row r="87" spans="1:20" s="752" customFormat="1" ht="15" thickBot="1">
      <c r="A87" s="712"/>
      <c r="B87" s="712"/>
      <c r="C87" s="1176" t="s">
        <v>58</v>
      </c>
      <c r="D87" s="1177"/>
      <c r="E87" s="1178"/>
      <c r="F87" s="730"/>
      <c r="G87" s="712"/>
      <c r="H87" s="712"/>
      <c r="I87" s="712"/>
      <c r="J87" s="712"/>
      <c r="K87" s="712"/>
      <c r="L87" s="712"/>
      <c r="M87" s="787"/>
      <c r="N87" s="731" t="s">
        <v>884</v>
      </c>
      <c r="O87" s="732"/>
      <c r="P87" s="733"/>
      <c r="Q87" s="787"/>
      <c r="R87" s="787"/>
      <c r="S87" s="712"/>
      <c r="T87" s="712"/>
    </row>
    <row r="88" spans="1:20" s="752" customFormat="1">
      <c r="A88" s="712"/>
      <c r="B88" s="712"/>
      <c r="C88" s="805" t="s">
        <v>964</v>
      </c>
      <c r="D88" s="806">
        <f>IF(D84="y",6074025*D$50*(D$51*M$67)^0.6*M$66^0.02*('Solid fuels - emission calc.'!D$20*'Solid fuels - emission calc.'!D$21/100)^0.716,0)</f>
        <v>30014841.69108082</v>
      </c>
      <c r="E88" s="807" t="s">
        <v>123</v>
      </c>
      <c r="F88" s="712" t="s">
        <v>885</v>
      </c>
      <c r="G88" s="712"/>
      <c r="H88" s="712"/>
      <c r="I88" s="712"/>
      <c r="J88" s="712"/>
      <c r="K88" s="712"/>
      <c r="L88" s="712"/>
      <c r="N88" s="724"/>
      <c r="O88" s="724"/>
      <c r="P88" s="749"/>
      <c r="Q88" s="787"/>
      <c r="R88" s="787"/>
      <c r="S88" s="712"/>
      <c r="T88" s="712"/>
    </row>
    <row r="89" spans="1:20" s="752" customFormat="1">
      <c r="A89" s="712"/>
      <c r="B89" s="712"/>
      <c r="C89" s="805" t="s">
        <v>958</v>
      </c>
      <c r="D89" s="806">
        <f>IF(D84="Y",687682*D$50*(M$66*M$67)^0.3*('Solid fuels - emission calc.'!D$20*'Solid fuels - emission calc.'!D$21/100)^0.716,0)</f>
        <v>9747533.3786191344</v>
      </c>
      <c r="E89" s="807" t="s">
        <v>123</v>
      </c>
      <c r="F89" s="712"/>
      <c r="G89" s="712"/>
      <c r="H89" s="712"/>
      <c r="I89" s="712"/>
      <c r="J89" s="712"/>
      <c r="K89" s="712"/>
      <c r="L89" s="712"/>
      <c r="Q89" s="787"/>
      <c r="R89" s="787"/>
      <c r="S89" s="712"/>
      <c r="T89" s="712"/>
    </row>
    <row r="90" spans="1:20" s="752" customFormat="1">
      <c r="A90" s="712"/>
      <c r="B90" s="712"/>
      <c r="C90" s="805" t="s">
        <v>959</v>
      </c>
      <c r="D90" s="806">
        <f>IF(D84="Y",812985*D$50*(M$66*M$67)^0.45*('Solid fuels - emission calc.'!D$20*'Solid fuels - emission calc.'!D$21/100)^0.716,0)</f>
        <v>4689341.7278509988</v>
      </c>
      <c r="E90" s="807" t="s">
        <v>123</v>
      </c>
      <c r="F90" s="712"/>
      <c r="G90" s="712"/>
      <c r="H90" s="712"/>
      <c r="I90" s="712"/>
      <c r="J90" s="712"/>
      <c r="K90" s="712"/>
      <c r="L90" s="712"/>
      <c r="Q90" s="787"/>
      <c r="R90" s="787"/>
      <c r="S90" s="712"/>
      <c r="T90" s="712"/>
    </row>
    <row r="91" spans="1:20" s="752" customFormat="1">
      <c r="A91" s="712"/>
      <c r="B91" s="712"/>
      <c r="C91" s="805" t="s">
        <v>960</v>
      </c>
      <c r="D91" s="806">
        <f>IF(D84="Y",4474805*(D$51*M$67)^0.4*('Solid fuels - emission calc.'!D$20*'Solid fuels - emission calc.'!D$21/100)^0.716,0)</f>
        <v>58201428.154318087</v>
      </c>
      <c r="E91" s="807" t="s">
        <v>123</v>
      </c>
      <c r="F91" s="712"/>
      <c r="G91" s="712"/>
      <c r="H91" s="712"/>
      <c r="I91" s="712"/>
      <c r="J91" s="712"/>
      <c r="K91" s="712"/>
      <c r="L91" s="712"/>
      <c r="R91" s="787"/>
      <c r="S91" s="712"/>
      <c r="T91" s="712"/>
    </row>
    <row r="92" spans="1:20" s="752" customFormat="1" ht="15">
      <c r="A92" s="712"/>
      <c r="B92" s="712"/>
      <c r="C92" s="808" t="s">
        <v>1199</v>
      </c>
      <c r="D92" s="809">
        <f>D91+D88+D89+D90</f>
        <v>102653144.95186904</v>
      </c>
      <c r="E92" s="807" t="s">
        <v>123</v>
      </c>
      <c r="F92" s="712"/>
      <c r="G92" s="712"/>
      <c r="H92" s="712"/>
      <c r="R92" s="787"/>
      <c r="S92" s="712"/>
      <c r="T92" s="712"/>
    </row>
    <row r="93" spans="1:20" s="752" customFormat="1">
      <c r="A93" s="712"/>
      <c r="B93" s="712"/>
      <c r="C93" s="803" t="s">
        <v>774</v>
      </c>
      <c r="D93" s="810">
        <f>+M213/100*D92</f>
        <v>30795943.485560711</v>
      </c>
      <c r="E93" s="807" t="s">
        <v>123</v>
      </c>
      <c r="F93" s="712"/>
      <c r="G93" s="712"/>
      <c r="H93" s="712"/>
      <c r="R93" s="787"/>
      <c r="S93" s="712"/>
      <c r="T93" s="712"/>
    </row>
    <row r="94" spans="1:20" s="752" customFormat="1">
      <c r="A94" s="712"/>
      <c r="B94" s="712"/>
      <c r="C94" s="803" t="s">
        <v>804</v>
      </c>
      <c r="D94" s="810">
        <f>+M214*(D92+D93)/100</f>
        <v>6672454.421871488</v>
      </c>
      <c r="E94" s="807" t="s">
        <v>123</v>
      </c>
      <c r="F94" s="712"/>
      <c r="G94" s="712"/>
      <c r="H94" s="712"/>
      <c r="Q94" s="787"/>
      <c r="R94" s="787"/>
      <c r="S94" s="712"/>
      <c r="T94" s="712"/>
    </row>
    <row r="95" spans="1:20" s="752" customFormat="1" ht="15">
      <c r="A95" s="712"/>
      <c r="B95" s="712"/>
      <c r="C95" s="808" t="s">
        <v>805</v>
      </c>
      <c r="D95" s="809">
        <f>+D94+D93+D92</f>
        <v>140121542.85930124</v>
      </c>
      <c r="E95" s="807" t="s">
        <v>123</v>
      </c>
      <c r="F95" s="712"/>
      <c r="G95" s="712"/>
      <c r="H95" s="712"/>
      <c r="M95" s="787"/>
      <c r="Q95" s="787"/>
      <c r="R95" s="787"/>
      <c r="S95" s="712"/>
      <c r="T95" s="712"/>
    </row>
    <row r="96" spans="1:20" s="752" customFormat="1">
      <c r="A96" s="712"/>
      <c r="B96" s="712"/>
      <c r="C96" s="803"/>
      <c r="D96" s="811"/>
      <c r="E96" s="812"/>
      <c r="F96" s="712"/>
      <c r="G96" s="712"/>
      <c r="H96" s="712"/>
      <c r="M96" s="787"/>
      <c r="Q96" s="787"/>
      <c r="R96" s="787"/>
      <c r="S96" s="712"/>
      <c r="T96" s="712"/>
    </row>
    <row r="97" spans="1:22" s="752" customFormat="1">
      <c r="A97" s="712"/>
      <c r="B97" s="712"/>
      <c r="C97" s="803"/>
      <c r="D97" s="811"/>
      <c r="E97" s="804"/>
      <c r="F97" s="712"/>
      <c r="G97" s="712"/>
      <c r="H97" s="712"/>
      <c r="M97" s="787"/>
      <c r="Q97" s="787"/>
      <c r="R97" s="787"/>
      <c r="S97" s="712"/>
      <c r="T97" s="712"/>
    </row>
    <row r="98" spans="1:22" s="752" customFormat="1" ht="15.75" thickBot="1">
      <c r="A98" s="712"/>
      <c r="B98" s="712"/>
      <c r="C98" s="813" t="s">
        <v>34</v>
      </c>
      <c r="D98" s="814">
        <f>+D95*'Solid fuels - emission calc.'!J5</f>
        <v>12602685.750444027</v>
      </c>
      <c r="E98" s="815" t="s">
        <v>877</v>
      </c>
      <c r="F98" s="712"/>
      <c r="G98" s="712"/>
      <c r="H98" s="712"/>
      <c r="I98" s="712"/>
      <c r="J98" s="712"/>
      <c r="K98" s="712"/>
      <c r="L98" s="724"/>
      <c r="M98" s="787"/>
      <c r="R98" s="787"/>
      <c r="S98" s="712"/>
      <c r="T98" s="712"/>
    </row>
    <row r="99" spans="1:22" s="752" customFormat="1" ht="15.75" thickBot="1">
      <c r="A99" s="712"/>
      <c r="B99" s="712"/>
      <c r="C99" s="1176" t="s">
        <v>33</v>
      </c>
      <c r="D99" s="1177"/>
      <c r="E99" s="1178"/>
      <c r="F99" s="712"/>
      <c r="G99" s="712"/>
      <c r="H99" s="712"/>
      <c r="I99" s="712"/>
      <c r="J99" s="712"/>
      <c r="K99" s="712"/>
      <c r="M99" s="787"/>
      <c r="N99" s="1184" t="s">
        <v>886</v>
      </c>
      <c r="O99" s="1185"/>
      <c r="P99" s="816"/>
      <c r="Q99" s="787"/>
      <c r="R99" s="787"/>
      <c r="S99" s="712"/>
      <c r="T99" s="712"/>
    </row>
    <row r="100" spans="1:22" s="752" customFormat="1" ht="15">
      <c r="A100" s="712"/>
      <c r="B100" s="712"/>
      <c r="C100" s="808" t="s">
        <v>30</v>
      </c>
      <c r="D100" s="810">
        <f>('Solid fuels - emission calc.'!$D$20)^-0.284*0.1324*$D92</f>
        <v>1793650.4080394753</v>
      </c>
      <c r="E100" s="804" t="s">
        <v>877</v>
      </c>
      <c r="F100" s="1179" t="s">
        <v>887</v>
      </c>
      <c r="G100" s="1179"/>
      <c r="H100" s="712"/>
      <c r="I100" s="712"/>
      <c r="J100" s="712"/>
      <c r="K100" s="712"/>
      <c r="M100" s="787"/>
      <c r="N100" s="719"/>
      <c r="O100" s="720"/>
      <c r="P100" s="721"/>
      <c r="Q100" s="787"/>
      <c r="R100" s="787"/>
      <c r="S100" s="712"/>
      <c r="T100" s="712"/>
    </row>
    <row r="101" spans="1:22" s="752" customFormat="1" ht="15.75" thickBot="1">
      <c r="A101" s="712"/>
      <c r="B101" s="712"/>
      <c r="C101" s="817"/>
      <c r="D101" s="818"/>
      <c r="E101" s="804"/>
      <c r="F101" s="712"/>
      <c r="G101" s="712"/>
      <c r="H101" s="712"/>
      <c r="I101" s="712"/>
      <c r="J101" s="712"/>
      <c r="K101" s="712"/>
      <c r="L101" s="712"/>
      <c r="M101" s="787"/>
      <c r="N101" s="819" t="s">
        <v>888</v>
      </c>
      <c r="O101" s="820">
        <v>2.5</v>
      </c>
      <c r="P101" s="754" t="s">
        <v>87</v>
      </c>
      <c r="Q101" s="787" t="s">
        <v>889</v>
      </c>
      <c r="R101" s="787"/>
      <c r="S101" s="712"/>
      <c r="T101" s="712"/>
    </row>
    <row r="102" spans="1:22" s="752" customFormat="1" ht="15">
      <c r="A102" s="712"/>
      <c r="B102" s="712"/>
      <c r="C102" s="817" t="s">
        <v>966</v>
      </c>
      <c r="D102" s="821"/>
      <c r="E102" s="804"/>
      <c r="F102" s="712"/>
      <c r="G102" s="712"/>
      <c r="H102" s="712"/>
      <c r="I102" s="712"/>
      <c r="J102" s="712"/>
      <c r="K102" s="712"/>
      <c r="L102" s="712"/>
      <c r="M102" s="787"/>
      <c r="N102" s="787"/>
      <c r="O102" s="787"/>
      <c r="P102" s="787"/>
      <c r="Q102" s="787"/>
      <c r="R102" s="787"/>
      <c r="S102" s="712"/>
      <c r="T102" s="712"/>
    </row>
    <row r="103" spans="1:22" s="752" customFormat="1">
      <c r="A103" s="712"/>
      <c r="B103" s="712"/>
      <c r="C103" s="805" t="s">
        <v>809</v>
      </c>
      <c r="D103" s="822">
        <f>D11</f>
        <v>40</v>
      </c>
      <c r="E103" s="823" t="s">
        <v>961</v>
      </c>
      <c r="F103" s="712" t="s">
        <v>820</v>
      </c>
      <c r="G103" s="712"/>
      <c r="H103" s="712"/>
      <c r="I103" s="712"/>
      <c r="J103" s="712"/>
      <c r="K103" s="712"/>
      <c r="R103" s="787"/>
      <c r="S103" s="712"/>
      <c r="T103" s="712"/>
    </row>
    <row r="104" spans="1:22" s="752" customFormat="1">
      <c r="A104" s="712"/>
      <c r="B104" s="712"/>
      <c r="C104" s="805" t="s">
        <v>890</v>
      </c>
      <c r="D104" s="824">
        <f>+(1.8*D$48/100-0.1267)/(D$10/100)</f>
        <v>1.2283316163671238</v>
      </c>
      <c r="E104" s="823" t="s">
        <v>812</v>
      </c>
      <c r="F104" s="712"/>
      <c r="G104" s="712"/>
      <c r="H104" s="712"/>
      <c r="I104" s="712"/>
      <c r="J104" s="712"/>
      <c r="K104" s="712"/>
      <c r="R104" s="787"/>
      <c r="S104" s="712"/>
      <c r="T104" s="712"/>
    </row>
    <row r="105" spans="1:22" s="752" customFormat="1">
      <c r="A105" s="712"/>
      <c r="B105" s="712"/>
      <c r="C105" s="805" t="s">
        <v>810</v>
      </c>
      <c r="D105" s="825">
        <f>+D104*D$85</f>
        <v>9732.8892067535799</v>
      </c>
      <c r="E105" s="823" t="s">
        <v>891</v>
      </c>
      <c r="F105" s="712"/>
      <c r="G105" s="712"/>
      <c r="H105" s="712"/>
      <c r="I105" s="712"/>
      <c r="J105" s="712"/>
      <c r="K105" s="712"/>
      <c r="L105" s="712"/>
      <c r="M105" s="787"/>
      <c r="N105" s="787"/>
      <c r="O105" s="787"/>
      <c r="P105" s="787"/>
      <c r="Q105" s="787"/>
      <c r="R105" s="787"/>
      <c r="S105" s="712"/>
      <c r="T105" s="712"/>
    </row>
    <row r="106" spans="1:22" s="752" customFormat="1" ht="15">
      <c r="A106" s="712"/>
      <c r="B106" s="712"/>
      <c r="C106" s="808" t="s">
        <v>811</v>
      </c>
      <c r="D106" s="810">
        <f>D105*D103</f>
        <v>389315.56827014318</v>
      </c>
      <c r="E106" s="804" t="s">
        <v>877</v>
      </c>
      <c r="F106" s="712"/>
      <c r="G106" s="712"/>
      <c r="H106" s="712"/>
      <c r="I106" s="712"/>
      <c r="J106" s="712"/>
      <c r="K106" s="712"/>
      <c r="L106" s="712"/>
      <c r="M106" s="787"/>
      <c r="Q106" s="787"/>
      <c r="R106" s="787"/>
      <c r="S106" s="712"/>
      <c r="T106" s="712"/>
    </row>
    <row r="107" spans="1:22" s="752" customFormat="1">
      <c r="A107" s="712"/>
      <c r="B107" s="712"/>
      <c r="C107" s="826" t="s">
        <v>808</v>
      </c>
      <c r="D107" s="827">
        <f>'Solid fuels - emission calc.'!K$33</f>
        <v>60</v>
      </c>
      <c r="E107" s="823" t="s">
        <v>48</v>
      </c>
      <c r="F107" s="712"/>
      <c r="G107" s="712"/>
      <c r="H107" s="712"/>
      <c r="I107" s="712"/>
      <c r="J107" s="712"/>
      <c r="K107" s="712"/>
      <c r="L107" s="712"/>
      <c r="M107" s="787"/>
      <c r="Q107" s="787"/>
      <c r="R107" s="787"/>
      <c r="S107" s="787"/>
      <c r="T107" s="787"/>
      <c r="U107" s="787"/>
      <c r="V107" s="787"/>
    </row>
    <row r="108" spans="1:22" s="752" customFormat="1">
      <c r="A108" s="712"/>
      <c r="B108" s="712"/>
      <c r="C108" s="826" t="s">
        <v>807</v>
      </c>
      <c r="D108" s="825">
        <f>IF(D84="Y",'Solid fuels - emission calc.'!D$20*'Solid fuels - emission calc.'!D$21/100*'Solid fuels - emission calc.'!G$33/100*8760*(-0.049*'Solid fuels - emission calc.'!D$21+3.3536)/100,0)</f>
        <v>61039.680000000008</v>
      </c>
      <c r="E108" s="828" t="s">
        <v>892</v>
      </c>
      <c r="F108" s="712"/>
      <c r="G108" s="712"/>
      <c r="H108" s="712"/>
      <c r="I108" s="712"/>
      <c r="J108" s="712"/>
      <c r="K108" s="712"/>
      <c r="L108" s="712"/>
      <c r="M108" s="787"/>
      <c r="Q108" s="787"/>
      <c r="R108" s="787"/>
      <c r="S108" s="787"/>
      <c r="T108" s="787"/>
      <c r="U108" s="787"/>
      <c r="V108" s="787"/>
    </row>
    <row r="109" spans="1:22" s="752" customFormat="1" ht="15">
      <c r="A109" s="712"/>
      <c r="B109" s="712"/>
      <c r="C109" s="829" t="s">
        <v>806</v>
      </c>
      <c r="D109" s="810">
        <f>+D108*D107</f>
        <v>3662380.8000000003</v>
      </c>
      <c r="E109" s="804" t="s">
        <v>877</v>
      </c>
      <c r="F109" s="712"/>
      <c r="G109" s="712"/>
      <c r="H109" s="712"/>
      <c r="I109" s="712"/>
      <c r="J109" s="712"/>
      <c r="K109" s="712"/>
      <c r="L109" s="712"/>
      <c r="M109" s="787"/>
      <c r="Q109" s="787"/>
      <c r="R109" s="787"/>
      <c r="S109" s="787"/>
      <c r="T109" s="787"/>
      <c r="U109" s="787"/>
      <c r="V109" s="787"/>
    </row>
    <row r="110" spans="1:22" s="752" customFormat="1">
      <c r="A110" s="712"/>
      <c r="B110" s="712"/>
      <c r="C110" s="830" t="s">
        <v>893</v>
      </c>
      <c r="D110" s="831">
        <f>+IF(D$86="Y",D$20,D$21)</f>
        <v>-0.15</v>
      </c>
      <c r="E110" s="823" t="s">
        <v>962</v>
      </c>
      <c r="F110" s="1179" t="s">
        <v>895</v>
      </c>
      <c r="G110" s="1179"/>
      <c r="H110" s="712"/>
      <c r="I110" s="712"/>
      <c r="J110" s="712"/>
      <c r="K110" s="712"/>
      <c r="L110" s="712"/>
      <c r="M110" s="787"/>
      <c r="N110" s="787"/>
      <c r="O110" s="787"/>
      <c r="P110" s="787"/>
      <c r="Q110" s="787"/>
      <c r="R110" s="787"/>
      <c r="S110" s="787"/>
      <c r="T110" s="787"/>
      <c r="U110" s="787"/>
      <c r="V110" s="787"/>
    </row>
    <row r="111" spans="1:22" s="752" customFormat="1" ht="15">
      <c r="A111" s="712"/>
      <c r="B111" s="712"/>
      <c r="C111" s="830" t="s">
        <v>896</v>
      </c>
      <c r="D111" s="832">
        <f>D104*((100-D$10)/100+D$10/100*1.91)</f>
        <v>2.301402116425443</v>
      </c>
      <c r="E111" s="823" t="s">
        <v>897</v>
      </c>
      <c r="F111" s="712"/>
      <c r="G111" s="712"/>
      <c r="H111" s="712"/>
      <c r="I111" s="712"/>
      <c r="J111" s="712"/>
      <c r="K111" s="712"/>
      <c r="L111" s="712"/>
      <c r="M111" s="787"/>
      <c r="N111" s="833"/>
      <c r="O111" s="833"/>
      <c r="P111" s="833"/>
      <c r="Q111" s="833"/>
      <c r="R111" s="833"/>
      <c r="S111" s="833"/>
      <c r="T111" s="833"/>
      <c r="U111" s="833"/>
      <c r="V111" s="833"/>
    </row>
    <row r="112" spans="1:22" s="752" customFormat="1" ht="15">
      <c r="A112" s="712"/>
      <c r="B112" s="712"/>
      <c r="C112" s="803" t="s">
        <v>898</v>
      </c>
      <c r="D112" s="834">
        <f>D111*D85</f>
        <v>18235.541217773505</v>
      </c>
      <c r="E112" s="823" t="s">
        <v>963</v>
      </c>
      <c r="F112" s="716"/>
      <c r="G112" s="712"/>
      <c r="H112" s="712"/>
      <c r="I112" s="712"/>
      <c r="J112" s="712"/>
      <c r="K112" s="712"/>
      <c r="L112" s="712"/>
      <c r="M112" s="833"/>
      <c r="N112" s="833"/>
      <c r="O112" s="833"/>
      <c r="P112" s="833"/>
      <c r="Q112" s="833"/>
      <c r="R112" s="833"/>
      <c r="S112" s="833"/>
      <c r="T112" s="833"/>
      <c r="U112" s="833"/>
      <c r="V112" s="833"/>
    </row>
    <row r="113" spans="1:22" s="752" customFormat="1" ht="15">
      <c r="A113" s="712"/>
      <c r="B113" s="712"/>
      <c r="C113" s="808" t="s">
        <v>987</v>
      </c>
      <c r="D113" s="810">
        <f>D112*D110</f>
        <v>-2735.3311826660256</v>
      </c>
      <c r="E113" s="804" t="s">
        <v>877</v>
      </c>
      <c r="F113" s="712"/>
      <c r="G113" s="712"/>
      <c r="H113" s="712"/>
      <c r="I113" s="712"/>
      <c r="J113" s="712"/>
      <c r="K113" s="712"/>
      <c r="L113" s="712"/>
      <c r="M113" s="833"/>
      <c r="N113" s="749"/>
      <c r="O113" s="749"/>
      <c r="P113" s="749"/>
      <c r="Q113" s="749"/>
      <c r="R113" s="749"/>
      <c r="S113" s="749"/>
      <c r="T113" s="749"/>
      <c r="U113" s="749"/>
      <c r="V113" s="749"/>
    </row>
    <row r="114" spans="1:22" s="752" customFormat="1">
      <c r="A114" s="712"/>
      <c r="B114" s="712"/>
      <c r="C114" s="723"/>
      <c r="D114" s="835"/>
      <c r="E114" s="727"/>
      <c r="F114" s="712"/>
      <c r="G114" s="712"/>
      <c r="H114" s="712"/>
      <c r="I114" s="712"/>
      <c r="J114" s="712"/>
      <c r="K114" s="712"/>
      <c r="L114" s="712"/>
      <c r="M114" s="749"/>
      <c r="N114" s="749"/>
      <c r="O114" s="749"/>
      <c r="P114" s="749"/>
      <c r="Q114" s="749"/>
      <c r="R114" s="749"/>
      <c r="S114" s="749"/>
      <c r="T114" s="749"/>
      <c r="U114" s="749"/>
      <c r="V114" s="749"/>
    </row>
    <row r="115" spans="1:22" s="752" customFormat="1" ht="15">
      <c r="A115" s="712"/>
      <c r="B115" s="712"/>
      <c r="C115" s="813" t="s">
        <v>900</v>
      </c>
      <c r="D115" s="814">
        <f>+D100+D106+D109+D113</f>
        <v>5842611.4451269526</v>
      </c>
      <c r="E115" s="815" t="s">
        <v>877</v>
      </c>
      <c r="F115" s="1180"/>
      <c r="G115" s="712"/>
      <c r="H115" s="712"/>
      <c r="I115" s="712"/>
      <c r="J115" s="712"/>
      <c r="K115" s="712"/>
      <c r="L115" s="712"/>
      <c r="M115" s="749"/>
      <c r="N115" s="749"/>
      <c r="O115" s="749"/>
      <c r="P115" s="749"/>
      <c r="Q115" s="749"/>
      <c r="R115" s="749"/>
      <c r="S115" s="749"/>
      <c r="T115" s="749"/>
      <c r="U115" s="749"/>
      <c r="V115" s="749"/>
    </row>
    <row r="116" spans="1:22" s="752" customFormat="1" ht="15">
      <c r="A116" s="712"/>
      <c r="B116" s="712"/>
      <c r="C116" s="829"/>
      <c r="D116" s="836"/>
      <c r="E116" s="837"/>
      <c r="F116" s="1180"/>
      <c r="G116" s="712"/>
      <c r="H116" s="712"/>
      <c r="I116" s="712"/>
      <c r="J116" s="712"/>
      <c r="K116" s="712"/>
      <c r="L116" s="712"/>
      <c r="M116" s="749"/>
      <c r="N116" s="749"/>
      <c r="O116" s="749"/>
      <c r="P116" s="749"/>
      <c r="Q116" s="749"/>
      <c r="R116" s="749"/>
      <c r="S116" s="749"/>
      <c r="T116" s="749"/>
      <c r="U116" s="749"/>
      <c r="V116" s="749"/>
    </row>
    <row r="117" spans="1:22" s="752" customFormat="1" ht="15">
      <c r="A117" s="712"/>
      <c r="B117" s="712"/>
      <c r="C117" s="1167" t="s">
        <v>901</v>
      </c>
      <c r="D117" s="1168"/>
      <c r="E117" s="1169"/>
      <c r="F117" s="1180"/>
      <c r="G117" s="712"/>
      <c r="H117" s="712"/>
      <c r="I117" s="712"/>
      <c r="J117" s="712"/>
      <c r="K117" s="712"/>
      <c r="L117" s="712"/>
      <c r="M117" s="749"/>
      <c r="N117" s="749"/>
      <c r="O117" s="749"/>
      <c r="P117" s="749"/>
      <c r="Q117" s="749"/>
      <c r="R117" s="749"/>
      <c r="S117" s="749"/>
      <c r="T117" s="749"/>
      <c r="U117" s="749"/>
      <c r="V117" s="749"/>
    </row>
    <row r="118" spans="1:22" s="752" customFormat="1" ht="15">
      <c r="A118" s="712"/>
      <c r="B118" s="712"/>
      <c r="C118" s="813" t="s">
        <v>902</v>
      </c>
      <c r="D118" s="814">
        <f>D85</f>
        <v>7923.6657894871059</v>
      </c>
      <c r="E118" s="815" t="s">
        <v>873</v>
      </c>
      <c r="F118" s="1180"/>
      <c r="G118" s="712"/>
      <c r="H118" s="712"/>
      <c r="I118" s="712"/>
      <c r="J118" s="712"/>
      <c r="K118" s="712"/>
      <c r="L118" s="712"/>
      <c r="M118" s="749"/>
      <c r="N118" s="749"/>
      <c r="O118" s="749"/>
      <c r="P118" s="749"/>
      <c r="Q118" s="749"/>
      <c r="R118" s="749"/>
      <c r="S118" s="749"/>
      <c r="T118" s="749"/>
      <c r="U118" s="749"/>
      <c r="V118" s="749"/>
    </row>
    <row r="119" spans="1:22" s="752" customFormat="1" ht="16.5">
      <c r="A119" s="712"/>
      <c r="B119" s="712"/>
      <c r="C119" s="813" t="s">
        <v>1045</v>
      </c>
      <c r="D119" s="814">
        <f>D$47</f>
        <v>200</v>
      </c>
      <c r="E119" s="838" t="s">
        <v>1243</v>
      </c>
      <c r="F119" s="1180"/>
      <c r="G119" s="712"/>
      <c r="H119" s="712"/>
      <c r="I119" s="712"/>
      <c r="J119" s="712"/>
      <c r="K119" s="712"/>
      <c r="L119" s="712"/>
      <c r="M119" s="749"/>
      <c r="N119" s="749"/>
      <c r="O119" s="749"/>
      <c r="P119" s="749"/>
      <c r="Q119" s="749"/>
      <c r="R119" s="749"/>
      <c r="S119" s="749"/>
      <c r="T119" s="749"/>
      <c r="U119" s="749"/>
      <c r="V119" s="749"/>
    </row>
    <row r="120" spans="1:22" s="752" customFormat="1" ht="16.5">
      <c r="A120" s="712"/>
      <c r="B120" s="712"/>
      <c r="C120" s="813" t="s">
        <v>1046</v>
      </c>
      <c r="D120" s="814">
        <f>D$43</f>
        <v>728.5950193602356</v>
      </c>
      <c r="E120" s="838" t="s">
        <v>1243</v>
      </c>
      <c r="F120" s="1180"/>
      <c r="G120" s="712"/>
      <c r="H120" s="712"/>
      <c r="I120" s="712"/>
      <c r="J120" s="712"/>
      <c r="K120" s="712"/>
      <c r="L120" s="712"/>
      <c r="M120" s="749"/>
      <c r="N120" s="749"/>
      <c r="O120" s="749"/>
      <c r="P120" s="749"/>
      <c r="Q120" s="749"/>
      <c r="R120" s="749"/>
      <c r="S120" s="749"/>
      <c r="T120" s="749"/>
      <c r="U120" s="749"/>
      <c r="V120" s="749"/>
    </row>
    <row r="121" spans="1:22" s="752" customFormat="1" ht="15">
      <c r="A121" s="712"/>
      <c r="B121" s="712"/>
      <c r="C121" s="813" t="s">
        <v>1039</v>
      </c>
      <c r="D121" s="814">
        <f>(1-D119/D120)*100</f>
        <v>72.549908428468825</v>
      </c>
      <c r="E121" s="815" t="s">
        <v>87</v>
      </c>
      <c r="F121" s="1180"/>
      <c r="G121" s="712"/>
      <c r="H121" s="712"/>
      <c r="I121" s="712"/>
      <c r="J121" s="712"/>
      <c r="K121" s="712"/>
      <c r="L121" s="712"/>
      <c r="M121" s="749"/>
      <c r="N121" s="839"/>
      <c r="O121" s="839"/>
      <c r="P121" s="839"/>
      <c r="Q121" s="839"/>
      <c r="R121" s="839"/>
      <c r="S121" s="839"/>
      <c r="T121" s="839"/>
      <c r="U121" s="839"/>
      <c r="V121" s="839"/>
    </row>
    <row r="122" spans="1:22" s="752" customFormat="1" ht="15">
      <c r="A122" s="712"/>
      <c r="B122" s="712"/>
      <c r="C122" s="813" t="s">
        <v>906</v>
      </c>
      <c r="D122" s="814">
        <f>+D95</f>
        <v>140121542.85930124</v>
      </c>
      <c r="E122" s="815" t="s">
        <v>123</v>
      </c>
      <c r="F122" s="712"/>
      <c r="G122" s="712"/>
      <c r="H122" s="712"/>
      <c r="I122" s="712"/>
      <c r="J122" s="712"/>
      <c r="K122" s="712"/>
      <c r="L122" s="712"/>
      <c r="M122" s="839"/>
      <c r="N122" s="840"/>
      <c r="O122" s="840"/>
      <c r="P122" s="840"/>
      <c r="Q122" s="840"/>
      <c r="R122" s="840"/>
      <c r="S122" s="840"/>
      <c r="T122" s="840"/>
      <c r="U122" s="840"/>
      <c r="V122" s="840"/>
    </row>
    <row r="123" spans="1:22" s="752" customFormat="1" ht="15">
      <c r="A123" s="712"/>
      <c r="B123" s="712"/>
      <c r="C123" s="813" t="s">
        <v>879</v>
      </c>
      <c r="D123" s="814">
        <f>D115+D98</f>
        <v>18445297.195570979</v>
      </c>
      <c r="E123" s="815" t="s">
        <v>877</v>
      </c>
      <c r="F123" s="712"/>
      <c r="G123" s="712"/>
      <c r="H123" s="712"/>
      <c r="I123" s="712"/>
      <c r="J123" s="712"/>
      <c r="K123" s="712"/>
      <c r="L123" s="712"/>
      <c r="M123" s="839"/>
      <c r="N123" s="840"/>
      <c r="O123" s="840"/>
      <c r="P123" s="840"/>
      <c r="Q123" s="840"/>
      <c r="R123" s="840"/>
      <c r="S123" s="840"/>
      <c r="T123" s="840"/>
      <c r="U123" s="840"/>
      <c r="V123" s="840"/>
    </row>
    <row r="124" spans="1:22" s="752" customFormat="1" ht="15">
      <c r="A124" s="712"/>
      <c r="B124" s="712"/>
      <c r="C124" s="813" t="s">
        <v>814</v>
      </c>
      <c r="D124" s="814">
        <f>+IF(D84="Y",D123/D85,0)</f>
        <v>2327.8742043920724</v>
      </c>
      <c r="E124" s="815" t="s">
        <v>907</v>
      </c>
      <c r="F124" s="712"/>
      <c r="G124" s="712"/>
      <c r="H124" s="712"/>
      <c r="I124" s="712"/>
      <c r="J124" s="712"/>
      <c r="K124" s="712"/>
      <c r="L124" s="712"/>
      <c r="M124" s="839"/>
      <c r="N124" s="840"/>
      <c r="O124" s="840"/>
      <c r="P124" s="840"/>
      <c r="Q124" s="840"/>
      <c r="R124" s="840"/>
      <c r="S124" s="840"/>
      <c r="T124" s="840"/>
      <c r="U124" s="840"/>
      <c r="V124" s="840"/>
    </row>
    <row r="125" spans="1:22" s="752" customFormat="1" ht="15">
      <c r="A125" s="712"/>
      <c r="B125" s="712"/>
      <c r="C125" s="813" t="s">
        <v>908</v>
      </c>
      <c r="D125" s="814">
        <f>+D95/('Solid fuels - emission calc.'!D$20*1000)</f>
        <v>112.097234287441</v>
      </c>
      <c r="E125" s="815" t="s">
        <v>303</v>
      </c>
      <c r="F125" s="712"/>
      <c r="G125" s="712"/>
      <c r="H125" s="712"/>
      <c r="I125" s="712"/>
      <c r="J125" s="712"/>
      <c r="K125" s="712"/>
      <c r="L125" s="712"/>
      <c r="M125" s="839"/>
      <c r="N125" s="840"/>
      <c r="O125" s="840"/>
      <c r="P125" s="840"/>
      <c r="Q125" s="840"/>
      <c r="R125" s="840"/>
      <c r="S125" s="840"/>
      <c r="T125" s="840"/>
      <c r="U125" s="840"/>
      <c r="V125" s="840"/>
    </row>
    <row r="126" spans="1:22" s="752" customFormat="1" ht="15">
      <c r="A126" s="712"/>
      <c r="B126" s="712"/>
      <c r="C126" s="813" t="s">
        <v>813</v>
      </c>
      <c r="D126" s="841">
        <f>+D108/('Solid fuels - emission calc.'!D$20*'Solid fuels - emission calc.'!D$21/100*'Solid fuels - emission calc.'!G$33/100*8760)*100</f>
        <v>1.3936000000000002</v>
      </c>
      <c r="E126" s="815" t="s">
        <v>87</v>
      </c>
      <c r="F126" s="712"/>
      <c r="G126" s="712"/>
      <c r="H126" s="712"/>
      <c r="I126" s="712"/>
      <c r="J126" s="712"/>
      <c r="K126" s="712"/>
      <c r="L126" s="712"/>
      <c r="M126" s="840"/>
      <c r="N126" s="842"/>
      <c r="O126" s="842"/>
      <c r="P126" s="842"/>
      <c r="Q126" s="842"/>
      <c r="R126" s="842"/>
      <c r="S126" s="842"/>
      <c r="T126" s="842"/>
      <c r="U126" s="842"/>
      <c r="V126" s="842"/>
    </row>
    <row r="127" spans="1:22" s="752" customFormat="1" ht="15">
      <c r="A127" s="712"/>
      <c r="B127" s="712"/>
      <c r="C127" s="794" t="s">
        <v>815</v>
      </c>
      <c r="D127" s="843">
        <f>IF(D123&gt;0,D$98/D123,"n/a")</f>
        <v>0.68324655422034297</v>
      </c>
      <c r="E127" s="844"/>
      <c r="F127" s="712"/>
      <c r="G127" s="712"/>
      <c r="H127" s="712"/>
      <c r="I127" s="712"/>
      <c r="J127" s="712"/>
      <c r="K127" s="712"/>
      <c r="L127" s="712"/>
      <c r="M127" s="842"/>
      <c r="N127" s="842"/>
      <c r="O127" s="842"/>
      <c r="P127" s="842"/>
      <c r="Q127" s="842"/>
      <c r="R127" s="842"/>
      <c r="S127" s="842"/>
      <c r="T127" s="842"/>
      <c r="U127" s="842"/>
      <c r="V127" s="842"/>
    </row>
    <row r="128" spans="1:22" s="752" customFormat="1" ht="15.75" thickBot="1">
      <c r="A128" s="712"/>
      <c r="B128" s="712"/>
      <c r="C128" s="798" t="s">
        <v>816</v>
      </c>
      <c r="D128" s="845">
        <f>IF(D123&gt;0,D115/D123,"n/a")</f>
        <v>0.31675344577965708</v>
      </c>
      <c r="E128" s="846"/>
      <c r="F128" s="712"/>
      <c r="G128" s="712"/>
      <c r="H128" s="712"/>
      <c r="I128" s="712"/>
      <c r="J128" s="712"/>
      <c r="K128" s="712"/>
      <c r="L128" s="712"/>
      <c r="M128" s="842"/>
      <c r="N128" s="842"/>
      <c r="O128" s="842"/>
      <c r="P128" s="842"/>
      <c r="Q128" s="842"/>
      <c r="R128" s="842"/>
      <c r="S128" s="842"/>
      <c r="T128" s="842"/>
      <c r="U128" s="842"/>
      <c r="V128" s="842"/>
    </row>
    <row r="129" spans="1:22" s="752" customFormat="1">
      <c r="A129" s="712"/>
      <c r="B129" s="712"/>
      <c r="C129" s="723"/>
      <c r="D129" s="847"/>
      <c r="E129" s="727"/>
      <c r="F129" s="712"/>
      <c r="G129" s="712"/>
      <c r="H129" s="712"/>
      <c r="I129" s="712"/>
      <c r="J129" s="712"/>
      <c r="K129" s="712"/>
      <c r="L129" s="712"/>
      <c r="M129" s="842"/>
      <c r="N129" s="842"/>
      <c r="O129" s="842"/>
      <c r="P129" s="842"/>
      <c r="Q129" s="842"/>
      <c r="R129" s="842"/>
      <c r="S129" s="842"/>
      <c r="T129" s="842"/>
      <c r="U129" s="842"/>
      <c r="V129" s="842"/>
    </row>
    <row r="130" spans="1:22" s="752" customFormat="1" ht="15">
      <c r="A130" s="712"/>
      <c r="B130" s="712"/>
      <c r="C130" s="1167" t="s">
        <v>909</v>
      </c>
      <c r="D130" s="1168"/>
      <c r="E130" s="1169"/>
      <c r="F130" s="712"/>
      <c r="G130" s="712"/>
      <c r="H130" s="712"/>
      <c r="I130" s="712"/>
      <c r="J130" s="712"/>
      <c r="K130" s="712"/>
      <c r="L130" s="712"/>
      <c r="M130" s="842"/>
      <c r="N130" s="842"/>
      <c r="O130" s="842"/>
      <c r="P130" s="842"/>
      <c r="Q130" s="842"/>
      <c r="R130" s="842"/>
      <c r="S130" s="842"/>
      <c r="T130" s="842"/>
      <c r="U130" s="842"/>
      <c r="V130" s="842"/>
    </row>
    <row r="131" spans="1:22" s="752" customFormat="1" ht="15">
      <c r="A131" s="712"/>
      <c r="B131" s="712"/>
      <c r="C131" s="813" t="s">
        <v>902</v>
      </c>
      <c r="D131" s="814">
        <f>+D85+D$73</f>
        <v>16661.006426987165</v>
      </c>
      <c r="E131" s="815" t="s">
        <v>873</v>
      </c>
      <c r="F131" s="712"/>
      <c r="G131" s="712"/>
      <c r="H131" s="712"/>
      <c r="I131" s="712"/>
      <c r="J131" s="712"/>
      <c r="K131" s="712"/>
      <c r="L131" s="712"/>
      <c r="M131" s="842"/>
      <c r="N131" s="787"/>
      <c r="O131" s="787"/>
      <c r="P131" s="787"/>
      <c r="Q131" s="787"/>
      <c r="R131" s="787"/>
      <c r="S131" s="787"/>
      <c r="T131" s="787"/>
      <c r="U131" s="787"/>
      <c r="V131" s="787"/>
    </row>
    <row r="132" spans="1:22" s="752" customFormat="1" ht="16.5">
      <c r="A132" s="712"/>
      <c r="B132" s="712"/>
      <c r="C132" s="813" t="s">
        <v>1045</v>
      </c>
      <c r="D132" s="814">
        <f>+D$119</f>
        <v>200</v>
      </c>
      <c r="E132" s="838" t="s">
        <v>1243</v>
      </c>
      <c r="F132" s="712"/>
      <c r="G132" s="712"/>
      <c r="H132" s="712"/>
      <c r="I132" s="712"/>
      <c r="J132" s="712"/>
      <c r="K132" s="787"/>
      <c r="L132" s="787"/>
      <c r="M132" s="787"/>
      <c r="N132" s="787"/>
      <c r="O132" s="787"/>
      <c r="P132" s="787"/>
      <c r="Q132" s="787"/>
      <c r="R132" s="787"/>
      <c r="S132" s="787"/>
      <c r="T132" s="787"/>
      <c r="U132" s="787"/>
      <c r="V132" s="787"/>
    </row>
    <row r="133" spans="1:22" s="752" customFormat="1" ht="16.5">
      <c r="A133" s="712"/>
      <c r="B133" s="712"/>
      <c r="C133" s="813" t="s">
        <v>1046</v>
      </c>
      <c r="D133" s="814">
        <f>+'Solid fuels - emission calc.'!J$106</f>
        <v>1311.4710348484239</v>
      </c>
      <c r="E133" s="838" t="s">
        <v>1243</v>
      </c>
      <c r="F133" s="712"/>
      <c r="G133" s="712"/>
      <c r="H133" s="712"/>
      <c r="I133" s="712"/>
      <c r="J133" s="712"/>
      <c r="K133" s="787"/>
      <c r="L133" s="787"/>
      <c r="M133" s="787"/>
      <c r="N133" s="787"/>
      <c r="O133" s="787"/>
      <c r="P133" s="787"/>
      <c r="Q133" s="787"/>
      <c r="R133" s="787"/>
      <c r="S133" s="787"/>
      <c r="T133" s="787"/>
      <c r="U133" s="787"/>
      <c r="V133" s="787"/>
    </row>
    <row r="134" spans="1:22" s="752" customFormat="1" ht="15">
      <c r="A134" s="712"/>
      <c r="B134" s="712"/>
      <c r="C134" s="813" t="s">
        <v>1039</v>
      </c>
      <c r="D134" s="814">
        <f>(1-D132/D133)*100</f>
        <v>84.74994912692712</v>
      </c>
      <c r="E134" s="815" t="s">
        <v>87</v>
      </c>
      <c r="F134" s="712"/>
      <c r="G134" s="712"/>
      <c r="H134" s="712"/>
      <c r="I134" s="712"/>
      <c r="J134" s="712"/>
      <c r="K134" s="787"/>
      <c r="L134" s="787"/>
      <c r="M134" s="787"/>
      <c r="N134" s="787"/>
      <c r="O134" s="787"/>
      <c r="P134" s="787"/>
      <c r="Q134" s="787"/>
      <c r="R134" s="787"/>
      <c r="S134" s="787"/>
      <c r="T134" s="787"/>
      <c r="U134" s="787"/>
      <c r="V134" s="787"/>
    </row>
    <row r="135" spans="1:22" s="752" customFormat="1" ht="15">
      <c r="A135" s="712"/>
      <c r="B135" s="712"/>
      <c r="C135" s="813" t="s">
        <v>906</v>
      </c>
      <c r="D135" s="814">
        <f>+D95</f>
        <v>140121542.85930124</v>
      </c>
      <c r="E135" s="815" t="s">
        <v>123</v>
      </c>
      <c r="F135" s="712"/>
      <c r="G135" s="712"/>
      <c r="H135" s="712"/>
      <c r="I135" s="712"/>
      <c r="J135" s="712"/>
      <c r="K135" s="787"/>
      <c r="L135" s="787"/>
      <c r="M135" s="787"/>
      <c r="N135" s="787"/>
      <c r="O135" s="787"/>
      <c r="P135" s="787"/>
      <c r="Q135" s="787"/>
      <c r="R135" s="787"/>
      <c r="S135" s="787"/>
      <c r="T135" s="787"/>
      <c r="U135" s="787"/>
      <c r="V135" s="787"/>
    </row>
    <row r="136" spans="1:22" s="752" customFormat="1" ht="15">
      <c r="A136" s="712"/>
      <c r="B136" s="712"/>
      <c r="C136" s="813" t="s">
        <v>879</v>
      </c>
      <c r="D136" s="814">
        <f>+D115+D98+D$79</f>
        <v>27227354.777348194</v>
      </c>
      <c r="E136" s="815" t="s">
        <v>877</v>
      </c>
      <c r="F136" s="712"/>
      <c r="G136" s="712"/>
      <c r="H136" s="712"/>
      <c r="I136" s="712"/>
      <c r="J136" s="712"/>
      <c r="K136" s="787"/>
      <c r="L136" s="787"/>
      <c r="M136" s="787"/>
      <c r="N136" s="787"/>
      <c r="O136" s="787"/>
      <c r="P136" s="787"/>
      <c r="Q136" s="787"/>
      <c r="R136" s="787"/>
      <c r="S136" s="787"/>
      <c r="T136" s="787"/>
      <c r="U136" s="787"/>
      <c r="V136" s="787"/>
    </row>
    <row r="137" spans="1:22" s="752" customFormat="1" ht="15">
      <c r="A137" s="712"/>
      <c r="B137" s="712"/>
      <c r="C137" s="813" t="s">
        <v>814</v>
      </c>
      <c r="D137" s="814">
        <f>+IF(D84="Y",D136/D131,0)</f>
        <v>1634.1962831996673</v>
      </c>
      <c r="E137" s="815" t="s">
        <v>907</v>
      </c>
      <c r="F137" s="712"/>
      <c r="G137" s="712"/>
      <c r="H137" s="712"/>
      <c r="I137" s="712"/>
      <c r="J137" s="712"/>
      <c r="K137" s="787"/>
      <c r="L137" s="787"/>
      <c r="M137" s="787"/>
      <c r="Q137" s="712"/>
      <c r="R137" s="787"/>
      <c r="S137" s="712"/>
      <c r="T137" s="712"/>
    </row>
    <row r="138" spans="1:22" s="752" customFormat="1" ht="15">
      <c r="A138" s="712"/>
      <c r="B138" s="712"/>
      <c r="C138" s="813" t="s">
        <v>908</v>
      </c>
      <c r="D138" s="814">
        <f>+D125</f>
        <v>112.097234287441</v>
      </c>
      <c r="E138" s="815" t="s">
        <v>303</v>
      </c>
      <c r="F138" s="712"/>
      <c r="G138" s="712"/>
      <c r="H138" s="712"/>
      <c r="I138" s="712"/>
      <c r="J138" s="712"/>
      <c r="K138" s="787"/>
      <c r="L138" s="787"/>
      <c r="M138" s="787"/>
      <c r="Q138" s="712"/>
      <c r="R138" s="787"/>
      <c r="S138" s="712"/>
      <c r="T138" s="712"/>
    </row>
    <row r="139" spans="1:22" s="752" customFormat="1" ht="15">
      <c r="A139" s="712"/>
      <c r="B139" s="712"/>
      <c r="C139" s="813" t="s">
        <v>813</v>
      </c>
      <c r="D139" s="841">
        <f>+D126</f>
        <v>1.3936000000000002</v>
      </c>
      <c r="E139" s="815" t="s">
        <v>87</v>
      </c>
      <c r="F139" s="712"/>
      <c r="G139" s="712"/>
      <c r="H139" s="712"/>
      <c r="I139" s="712"/>
      <c r="J139" s="712"/>
      <c r="K139" s="787"/>
      <c r="L139" s="787"/>
      <c r="M139" s="787"/>
      <c r="Q139" s="712"/>
      <c r="R139" s="787"/>
      <c r="S139" s="712"/>
      <c r="T139" s="712"/>
    </row>
    <row r="140" spans="1:22" s="752" customFormat="1" ht="15">
      <c r="A140" s="712"/>
      <c r="B140" s="712"/>
      <c r="C140" s="794" t="s">
        <v>815</v>
      </c>
      <c r="D140" s="843">
        <f>IF(D136&gt;0,D98/D136,"n/a")</f>
        <v>0.46286853252923543</v>
      </c>
      <c r="E140" s="844"/>
      <c r="F140" s="712"/>
      <c r="G140" s="712"/>
      <c r="H140" s="712"/>
      <c r="I140" s="712"/>
      <c r="J140" s="712"/>
      <c r="K140" s="787"/>
      <c r="L140" s="787"/>
      <c r="M140" s="787"/>
      <c r="N140" s="787"/>
      <c r="O140" s="787"/>
      <c r="P140" s="787"/>
      <c r="Q140" s="787"/>
      <c r="R140" s="787"/>
      <c r="S140" s="712"/>
      <c r="T140" s="712"/>
    </row>
    <row r="141" spans="1:22" s="752" customFormat="1" ht="15.75" thickBot="1">
      <c r="A141" s="712"/>
      <c r="B141" s="712"/>
      <c r="C141" s="798" t="s">
        <v>816</v>
      </c>
      <c r="D141" s="845">
        <f>IF(D136&gt;0,(D115+D$79)/D136,"n/a")</f>
        <v>0.53713146747076457</v>
      </c>
      <c r="E141" s="846"/>
      <c r="F141" s="712"/>
      <c r="G141" s="712"/>
      <c r="H141" s="712"/>
      <c r="I141" s="712"/>
      <c r="J141" s="712"/>
      <c r="K141" s="787"/>
      <c r="L141" s="787"/>
      <c r="M141" s="787"/>
      <c r="N141" s="787"/>
      <c r="O141" s="787"/>
      <c r="P141" s="787"/>
      <c r="Q141" s="787"/>
      <c r="R141" s="787"/>
      <c r="S141" s="712"/>
      <c r="T141" s="712"/>
    </row>
    <row r="142" spans="1:22" s="752" customFormat="1">
      <c r="A142" s="712"/>
      <c r="B142" s="712"/>
      <c r="C142" s="712"/>
      <c r="D142" s="712"/>
      <c r="E142" s="712"/>
      <c r="F142" s="712"/>
      <c r="G142" s="712"/>
      <c r="H142" s="712"/>
      <c r="I142" s="712"/>
      <c r="J142" s="712"/>
      <c r="K142" s="787"/>
      <c r="L142" s="787"/>
      <c r="M142" s="787"/>
      <c r="N142" s="787"/>
      <c r="O142" s="787"/>
      <c r="P142" s="787"/>
      <c r="Q142" s="787"/>
      <c r="R142" s="787"/>
      <c r="S142" s="712"/>
      <c r="T142" s="712"/>
    </row>
    <row r="143" spans="1:22" s="752" customFormat="1">
      <c r="A143" s="712"/>
      <c r="B143" s="712"/>
      <c r="C143" s="712"/>
      <c r="D143" s="712"/>
      <c r="E143" s="712"/>
      <c r="F143" s="712"/>
      <c r="G143" s="712"/>
      <c r="H143" s="712"/>
      <c r="I143" s="712"/>
      <c r="J143" s="712"/>
      <c r="K143" s="787"/>
      <c r="L143" s="787"/>
      <c r="M143" s="787"/>
      <c r="N143" s="787"/>
      <c r="O143" s="787"/>
      <c r="P143" s="787"/>
      <c r="Q143" s="787"/>
      <c r="R143" s="787"/>
      <c r="S143" s="712"/>
      <c r="T143" s="712"/>
    </row>
    <row r="144" spans="1:22" s="752" customFormat="1">
      <c r="A144" s="712"/>
      <c r="B144" s="712"/>
      <c r="C144" s="712"/>
      <c r="D144" s="712"/>
      <c r="E144" s="712"/>
      <c r="F144" s="712"/>
      <c r="G144" s="712"/>
      <c r="H144" s="712"/>
      <c r="I144" s="712"/>
      <c r="J144" s="712"/>
      <c r="K144" s="787"/>
      <c r="L144" s="787"/>
      <c r="M144" s="787"/>
      <c r="N144" s="787"/>
      <c r="O144" s="787"/>
      <c r="P144" s="787"/>
      <c r="Q144" s="787"/>
      <c r="R144" s="787"/>
      <c r="S144" s="712"/>
      <c r="T144" s="712"/>
    </row>
    <row r="145" spans="1:20" s="752" customFormat="1" ht="15" thickBot="1">
      <c r="A145" s="712"/>
      <c r="B145" s="712"/>
      <c r="C145" s="712"/>
      <c r="D145" s="712"/>
      <c r="E145" s="712"/>
      <c r="F145" s="712"/>
      <c r="G145" s="712"/>
      <c r="H145" s="712"/>
      <c r="I145" s="712"/>
      <c r="J145" s="712"/>
      <c r="K145" s="787"/>
      <c r="L145" s="787"/>
      <c r="M145" s="787"/>
      <c r="N145" s="787"/>
      <c r="O145" s="787"/>
      <c r="P145" s="787"/>
      <c r="Q145" s="787"/>
      <c r="R145" s="787"/>
      <c r="S145" s="712"/>
      <c r="T145" s="712"/>
    </row>
    <row r="146" spans="1:20" s="752" customFormat="1" ht="15">
      <c r="A146" s="712"/>
      <c r="B146" s="712"/>
      <c r="C146" s="1173" t="s">
        <v>1047</v>
      </c>
      <c r="D146" s="1174"/>
      <c r="E146" s="1175"/>
      <c r="F146" s="712"/>
      <c r="G146" s="712"/>
      <c r="H146" s="712"/>
      <c r="I146" s="712"/>
      <c r="J146" s="712"/>
      <c r="K146" s="787"/>
      <c r="L146" s="787"/>
      <c r="M146" s="787"/>
      <c r="N146" s="787"/>
      <c r="O146" s="787"/>
      <c r="P146" s="787"/>
      <c r="Q146" s="787"/>
      <c r="R146" s="787"/>
      <c r="S146" s="712"/>
      <c r="T146" s="712"/>
    </row>
    <row r="147" spans="1:20" s="752" customFormat="1">
      <c r="A147" s="712"/>
      <c r="B147" s="712"/>
      <c r="C147" s="801" t="s">
        <v>1041</v>
      </c>
      <c r="D147" s="802" t="str">
        <f>+D45</f>
        <v>Y</v>
      </c>
      <c r="E147" s="743" t="s">
        <v>85</v>
      </c>
      <c r="F147" s="712"/>
      <c r="G147" s="712"/>
      <c r="H147" s="712"/>
      <c r="I147" s="712"/>
      <c r="J147" s="712"/>
      <c r="K147" s="787"/>
      <c r="L147" s="787"/>
      <c r="M147" s="787"/>
      <c r="N147" s="787"/>
      <c r="O147" s="787"/>
      <c r="P147" s="787"/>
      <c r="Q147" s="787"/>
      <c r="R147" s="787"/>
      <c r="S147" s="712"/>
      <c r="T147" s="712"/>
    </row>
    <row r="148" spans="1:20" s="752" customFormat="1">
      <c r="A148" s="712"/>
      <c r="B148" s="712"/>
      <c r="C148" s="803" t="s">
        <v>794</v>
      </c>
      <c r="D148" s="788">
        <f>+IF(D147="Y",'Solid fuels - emission calc.'!$D$20*3.6*'Solid fuels - emission calc.'!$G$33/100*8760*(M$66/1000)*(D$48/100),0)</f>
        <v>7923.6657894871059</v>
      </c>
      <c r="E148" s="804" t="s">
        <v>873</v>
      </c>
      <c r="F148" s="712"/>
      <c r="G148" s="712"/>
      <c r="H148" s="712"/>
      <c r="I148" s="712"/>
      <c r="J148" s="712"/>
      <c r="K148" s="787"/>
      <c r="L148" s="787"/>
      <c r="M148" s="787"/>
      <c r="N148" s="787"/>
      <c r="O148" s="787"/>
      <c r="P148" s="787"/>
      <c r="Q148" s="787"/>
      <c r="R148" s="787"/>
      <c r="S148" s="712"/>
      <c r="T148" s="712"/>
    </row>
    <row r="149" spans="1:20" s="752" customFormat="1">
      <c r="A149" s="712"/>
      <c r="B149" s="712"/>
      <c r="C149" s="803" t="s">
        <v>881</v>
      </c>
      <c r="D149" s="581" t="s">
        <v>95</v>
      </c>
      <c r="E149" s="804" t="s">
        <v>882</v>
      </c>
      <c r="F149" s="712"/>
      <c r="G149" s="712"/>
      <c r="H149" s="712"/>
      <c r="I149" s="712"/>
      <c r="J149" s="712"/>
      <c r="K149" s="787"/>
      <c r="L149" s="787"/>
      <c r="M149" s="787"/>
      <c r="N149" s="787"/>
      <c r="O149" s="787"/>
      <c r="P149" s="787"/>
      <c r="Q149" s="787"/>
      <c r="R149" s="787"/>
      <c r="S149" s="712"/>
      <c r="T149" s="712"/>
    </row>
    <row r="150" spans="1:20" s="752" customFormat="1">
      <c r="A150" s="712"/>
      <c r="B150" s="712"/>
      <c r="C150" s="803"/>
      <c r="D150" s="811"/>
      <c r="E150" s="804"/>
      <c r="F150" s="712"/>
      <c r="G150" s="712"/>
      <c r="H150" s="712"/>
      <c r="I150" s="712"/>
      <c r="J150" s="712"/>
      <c r="K150" s="787"/>
      <c r="L150" s="787"/>
      <c r="M150" s="787"/>
      <c r="N150" s="787"/>
      <c r="O150" s="787"/>
      <c r="P150" s="787"/>
      <c r="Q150" s="787"/>
      <c r="R150" s="787"/>
      <c r="S150" s="712"/>
      <c r="T150" s="712"/>
    </row>
    <row r="151" spans="1:20" s="752" customFormat="1">
      <c r="A151" s="712"/>
      <c r="B151" s="712"/>
      <c r="C151" s="803"/>
      <c r="D151" s="811"/>
      <c r="E151" s="804"/>
      <c r="F151" s="712"/>
      <c r="G151" s="712"/>
      <c r="H151" s="712"/>
      <c r="I151" s="712"/>
      <c r="J151" s="712"/>
      <c r="K151" s="787"/>
      <c r="L151" s="787"/>
      <c r="M151" s="787"/>
      <c r="N151" s="787"/>
      <c r="O151" s="787"/>
      <c r="P151" s="787"/>
      <c r="Q151" s="787"/>
      <c r="R151" s="787"/>
      <c r="S151" s="712"/>
      <c r="T151" s="712"/>
    </row>
    <row r="152" spans="1:20" s="752" customFormat="1">
      <c r="A152" s="712"/>
      <c r="B152" s="712"/>
      <c r="C152" s="803"/>
      <c r="D152" s="811"/>
      <c r="E152" s="804"/>
      <c r="F152" s="712"/>
      <c r="G152" s="712"/>
      <c r="H152" s="712"/>
      <c r="I152" s="712"/>
      <c r="J152" s="712"/>
      <c r="K152" s="787"/>
      <c r="L152" s="787"/>
      <c r="M152" s="787"/>
      <c r="N152" s="787"/>
      <c r="O152" s="787"/>
      <c r="P152" s="787"/>
      <c r="Q152" s="787"/>
      <c r="R152" s="787"/>
      <c r="S152" s="712"/>
      <c r="T152" s="712"/>
    </row>
    <row r="153" spans="1:20" s="752" customFormat="1">
      <c r="A153" s="712"/>
      <c r="B153" s="712"/>
      <c r="C153" s="1176" t="s">
        <v>58</v>
      </c>
      <c r="D153" s="1177"/>
      <c r="E153" s="1178"/>
      <c r="F153" s="712"/>
      <c r="G153" s="712"/>
      <c r="H153" s="712"/>
      <c r="I153" s="712"/>
      <c r="J153" s="712"/>
      <c r="K153" s="787"/>
      <c r="L153" s="787"/>
      <c r="M153" s="787"/>
      <c r="N153" s="787"/>
      <c r="O153" s="787"/>
      <c r="P153" s="787"/>
      <c r="Q153" s="787"/>
      <c r="R153" s="787"/>
      <c r="S153" s="712"/>
      <c r="T153" s="712"/>
    </row>
    <row r="154" spans="1:20" s="752" customFormat="1">
      <c r="A154" s="712"/>
      <c r="B154" s="712"/>
      <c r="C154" s="805" t="s">
        <v>964</v>
      </c>
      <c r="D154" s="806">
        <f>IF(D147="Y",6198239*D$50*(D$51*M$67)^0.6*M$66^0.01*('Solid fuels - emission calc.'!D$20*'Solid fuels - emission calc.'!D$21/100)^0.716,0)</f>
        <v>31024305.886089779</v>
      </c>
      <c r="E154" s="807" t="s">
        <v>123</v>
      </c>
      <c r="F154" s="712" t="s">
        <v>885</v>
      </c>
      <c r="G154" s="712"/>
      <c r="H154" s="712"/>
      <c r="I154" s="712"/>
      <c r="J154" s="712"/>
      <c r="K154" s="787"/>
      <c r="L154" s="787"/>
      <c r="M154" s="787"/>
      <c r="N154" s="787"/>
      <c r="O154" s="787"/>
      <c r="P154" s="787"/>
      <c r="Q154" s="787"/>
      <c r="R154" s="787"/>
      <c r="S154" s="712"/>
      <c r="T154" s="712"/>
    </row>
    <row r="155" spans="1:20" s="752" customFormat="1">
      <c r="A155" s="712"/>
      <c r="B155" s="712"/>
      <c r="C155" s="805" t="s">
        <v>965</v>
      </c>
      <c r="D155" s="806">
        <f>IF(D147="Y",633077*D$50*(M$66*M$67)^0.2*('Solid fuels - emission calc.'!D$20*'Solid fuels - emission calc.'!D$21/100)^0.716,0)</f>
        <v>16341130.294170387</v>
      </c>
      <c r="E155" s="807" t="s">
        <v>123</v>
      </c>
      <c r="F155" s="712"/>
      <c r="G155" s="712"/>
      <c r="H155" s="712"/>
      <c r="I155" s="712"/>
      <c r="J155" s="712"/>
      <c r="K155" s="787"/>
      <c r="L155" s="787"/>
      <c r="M155" s="787"/>
      <c r="N155" s="787"/>
      <c r="O155" s="787"/>
      <c r="P155" s="787"/>
      <c r="Q155" s="787"/>
      <c r="R155" s="787"/>
      <c r="S155" s="712"/>
      <c r="T155" s="712"/>
    </row>
    <row r="156" spans="1:20" s="752" customFormat="1">
      <c r="A156" s="712"/>
      <c r="B156" s="712"/>
      <c r="C156" s="805"/>
      <c r="D156" s="848"/>
      <c r="E156" s="807"/>
      <c r="F156" s="712"/>
      <c r="G156" s="712"/>
      <c r="H156" s="712"/>
      <c r="I156" s="712"/>
      <c r="J156" s="712"/>
      <c r="K156" s="787"/>
      <c r="L156" s="787"/>
      <c r="M156" s="787"/>
      <c r="N156" s="787"/>
      <c r="O156" s="787"/>
      <c r="P156" s="787"/>
      <c r="Q156" s="787"/>
      <c r="R156" s="787"/>
      <c r="S156" s="712"/>
      <c r="T156" s="712"/>
    </row>
    <row r="157" spans="1:20" s="752" customFormat="1">
      <c r="A157" s="712"/>
      <c r="B157" s="712"/>
      <c r="C157" s="805" t="s">
        <v>960</v>
      </c>
      <c r="D157" s="806">
        <f>IF(D147="Y",3539969*(D$51*M$67)^0.4*('Solid fuels - emission calc.'!D$20*'Solid fuels - emission calc.'!D$21/100)^0.716,0)</f>
        <v>46042509.432704493</v>
      </c>
      <c r="E157" s="807" t="s">
        <v>123</v>
      </c>
      <c r="F157" s="712"/>
      <c r="G157" s="712"/>
      <c r="H157" s="712"/>
      <c r="I157" s="712"/>
      <c r="J157" s="712"/>
      <c r="K157" s="787"/>
      <c r="L157" s="787"/>
      <c r="M157" s="787"/>
      <c r="N157" s="787"/>
      <c r="O157" s="787"/>
      <c r="P157" s="787"/>
      <c r="Q157" s="787"/>
      <c r="R157" s="787"/>
      <c r="S157" s="712"/>
      <c r="T157" s="712"/>
    </row>
    <row r="158" spans="1:20" s="752" customFormat="1" ht="15">
      <c r="A158" s="712"/>
      <c r="B158" s="712"/>
      <c r="C158" s="808" t="s">
        <v>1217</v>
      </c>
      <c r="D158" s="809">
        <f>D157+D154+D155+D156</f>
        <v>93407945.61296466</v>
      </c>
      <c r="E158" s="807" t="s">
        <v>123</v>
      </c>
      <c r="F158" s="712"/>
      <c r="G158" s="712"/>
      <c r="H158" s="712"/>
      <c r="I158" s="712"/>
      <c r="J158" s="712"/>
      <c r="K158" s="787"/>
      <c r="L158" s="787"/>
      <c r="M158" s="787"/>
      <c r="N158" s="787"/>
      <c r="O158" s="787"/>
      <c r="P158" s="787"/>
      <c r="Q158" s="787"/>
      <c r="R158" s="787"/>
      <c r="S158" s="712"/>
      <c r="T158" s="712"/>
    </row>
    <row r="159" spans="1:20" s="752" customFormat="1">
      <c r="A159" s="712"/>
      <c r="B159" s="712"/>
      <c r="C159" s="803" t="s">
        <v>774</v>
      </c>
      <c r="D159" s="810">
        <f>+M213/100*D158</f>
        <v>28022383.683889396</v>
      </c>
      <c r="E159" s="807" t="s">
        <v>123</v>
      </c>
      <c r="F159" s="712"/>
      <c r="G159" s="712"/>
      <c r="H159" s="712"/>
      <c r="I159" s="712"/>
      <c r="J159" s="712"/>
      <c r="K159" s="787"/>
      <c r="L159" s="787"/>
      <c r="M159" s="787"/>
      <c r="N159" s="787"/>
      <c r="O159" s="787"/>
      <c r="P159" s="787"/>
      <c r="Q159" s="787"/>
      <c r="R159" s="787"/>
      <c r="S159" s="712"/>
      <c r="T159" s="712"/>
    </row>
    <row r="160" spans="1:20" s="752" customFormat="1">
      <c r="A160" s="712"/>
      <c r="B160" s="712"/>
      <c r="C160" s="803" t="s">
        <v>804</v>
      </c>
      <c r="D160" s="810">
        <f>+M214*(D158+D159)/100</f>
        <v>6071516.4648427023</v>
      </c>
      <c r="E160" s="807" t="s">
        <v>123</v>
      </c>
      <c r="F160" s="712"/>
      <c r="G160" s="712"/>
      <c r="H160" s="712"/>
      <c r="I160" s="712"/>
      <c r="J160" s="712"/>
      <c r="K160" s="787"/>
      <c r="L160" s="787"/>
      <c r="M160" s="787"/>
      <c r="N160" s="787"/>
      <c r="O160" s="787"/>
      <c r="P160" s="787"/>
      <c r="Q160" s="787"/>
      <c r="R160" s="787"/>
      <c r="S160" s="712"/>
      <c r="T160" s="712"/>
    </row>
    <row r="161" spans="1:20" s="752" customFormat="1" ht="15">
      <c r="A161" s="712"/>
      <c r="B161" s="712"/>
      <c r="C161" s="808" t="s">
        <v>805</v>
      </c>
      <c r="D161" s="809">
        <f>+D160+D159+D158</f>
        <v>127501845.76169676</v>
      </c>
      <c r="E161" s="807" t="s">
        <v>123</v>
      </c>
      <c r="F161" s="712"/>
      <c r="G161" s="712"/>
      <c r="H161" s="712"/>
      <c r="I161" s="712"/>
      <c r="J161" s="712"/>
      <c r="K161" s="787"/>
      <c r="L161" s="787"/>
      <c r="M161" s="787"/>
      <c r="N161" s="787"/>
      <c r="O161" s="787"/>
      <c r="P161" s="787"/>
      <c r="Q161" s="787"/>
      <c r="R161" s="787"/>
      <c r="S161" s="712"/>
      <c r="T161" s="712"/>
    </row>
    <row r="162" spans="1:20" s="752" customFormat="1">
      <c r="A162" s="712"/>
      <c r="B162" s="712"/>
      <c r="C162" s="803"/>
      <c r="D162" s="811"/>
      <c r="E162" s="849"/>
      <c r="F162" s="712"/>
      <c r="G162" s="712"/>
      <c r="H162" s="712"/>
      <c r="I162" s="712"/>
      <c r="J162" s="712"/>
      <c r="K162" s="787"/>
      <c r="L162" s="787"/>
      <c r="M162" s="787"/>
      <c r="N162" s="787"/>
      <c r="O162" s="787"/>
      <c r="P162" s="787"/>
      <c r="Q162" s="787"/>
      <c r="R162" s="787"/>
      <c r="S162" s="712"/>
      <c r="T162" s="712"/>
    </row>
    <row r="163" spans="1:20" s="752" customFormat="1">
      <c r="A163" s="712"/>
      <c r="B163" s="712"/>
      <c r="C163" s="803"/>
      <c r="D163" s="811"/>
      <c r="E163" s="804"/>
      <c r="F163" s="712"/>
      <c r="G163" s="712"/>
      <c r="H163" s="712"/>
      <c r="I163" s="712"/>
      <c r="J163" s="712"/>
      <c r="K163" s="787"/>
      <c r="L163" s="787"/>
      <c r="M163" s="787"/>
      <c r="N163" s="787"/>
      <c r="O163" s="787"/>
      <c r="P163" s="787"/>
      <c r="Q163" s="787"/>
      <c r="R163" s="787"/>
      <c r="S163" s="712"/>
      <c r="T163" s="712"/>
    </row>
    <row r="164" spans="1:20" s="752" customFormat="1" ht="15">
      <c r="A164" s="712"/>
      <c r="B164" s="712"/>
      <c r="C164" s="813" t="s">
        <v>34</v>
      </c>
      <c r="D164" s="814">
        <f>+D161*'Solid fuels - emission calc.'!J5</f>
        <v>11467656.307137104</v>
      </c>
      <c r="E164" s="815" t="s">
        <v>877</v>
      </c>
      <c r="F164" s="712"/>
      <c r="G164" s="712"/>
      <c r="H164" s="712"/>
      <c r="I164" s="712"/>
      <c r="J164" s="712"/>
      <c r="K164" s="787"/>
      <c r="L164" s="787"/>
      <c r="M164" s="787"/>
      <c r="N164" s="787"/>
      <c r="O164" s="787"/>
      <c r="P164" s="787"/>
      <c r="Q164" s="787"/>
      <c r="R164" s="787"/>
      <c r="S164" s="712"/>
      <c r="T164" s="712"/>
    </row>
    <row r="165" spans="1:20" s="752" customFormat="1">
      <c r="A165" s="712"/>
      <c r="B165" s="712"/>
      <c r="C165" s="1176" t="s">
        <v>33</v>
      </c>
      <c r="D165" s="1177"/>
      <c r="E165" s="1178"/>
      <c r="F165" s="712"/>
      <c r="G165" s="712"/>
      <c r="H165" s="712"/>
      <c r="I165" s="712"/>
      <c r="J165" s="712"/>
      <c r="K165" s="787"/>
      <c r="L165" s="787"/>
      <c r="M165" s="787"/>
      <c r="N165" s="787"/>
      <c r="O165" s="787"/>
      <c r="P165" s="787"/>
      <c r="Q165" s="787"/>
      <c r="R165" s="787"/>
      <c r="S165" s="712"/>
      <c r="T165" s="712"/>
    </row>
    <row r="166" spans="1:20" s="752" customFormat="1" ht="15">
      <c r="A166" s="712"/>
      <c r="B166" s="712"/>
      <c r="C166" s="808" t="s">
        <v>30</v>
      </c>
      <c r="D166" s="810">
        <f>('Solid fuels - emission calc.'!$D$20)^-0.297*0.1688*$D158</f>
        <v>1896592.3254868137</v>
      </c>
      <c r="E166" s="804" t="s">
        <v>877</v>
      </c>
      <c r="F166" s="1179" t="s">
        <v>887</v>
      </c>
      <c r="G166" s="1179"/>
      <c r="H166" s="712"/>
      <c r="I166" s="712"/>
      <c r="J166" s="712"/>
      <c r="K166" s="787"/>
      <c r="L166" s="787"/>
      <c r="M166" s="787"/>
      <c r="N166" s="787"/>
      <c r="O166" s="787"/>
      <c r="P166" s="712"/>
      <c r="Q166" s="712"/>
      <c r="R166" s="787"/>
      <c r="S166" s="712"/>
      <c r="T166" s="712"/>
    </row>
    <row r="167" spans="1:20" s="752" customFormat="1">
      <c r="A167" s="712"/>
      <c r="B167" s="712"/>
      <c r="C167" s="803"/>
      <c r="D167" s="818"/>
      <c r="E167" s="804"/>
      <c r="F167" s="712"/>
      <c r="G167" s="712"/>
      <c r="H167" s="712"/>
      <c r="I167" s="712"/>
      <c r="J167" s="712"/>
      <c r="K167" s="787"/>
      <c r="L167" s="787"/>
      <c r="M167" s="787"/>
      <c r="N167" s="787"/>
      <c r="O167" s="787"/>
      <c r="P167" s="712"/>
      <c r="Q167" s="712"/>
      <c r="R167" s="787"/>
      <c r="S167" s="712"/>
      <c r="T167" s="712"/>
    </row>
    <row r="168" spans="1:20" s="752" customFormat="1">
      <c r="A168" s="712"/>
      <c r="B168" s="712"/>
      <c r="C168" s="803"/>
      <c r="D168" s="821"/>
      <c r="E168" s="804"/>
      <c r="F168" s="712"/>
      <c r="G168" s="712"/>
      <c r="H168" s="712"/>
      <c r="I168" s="712"/>
      <c r="J168" s="712"/>
      <c r="K168" s="787"/>
      <c r="L168" s="787"/>
      <c r="M168" s="787"/>
      <c r="N168" s="787"/>
      <c r="O168" s="787"/>
      <c r="P168" s="712"/>
      <c r="Q168" s="712"/>
      <c r="R168" s="787"/>
      <c r="S168" s="712"/>
      <c r="T168" s="712"/>
    </row>
    <row r="169" spans="1:20" s="752" customFormat="1">
      <c r="A169" s="712"/>
      <c r="B169" s="712"/>
      <c r="C169" s="805" t="s">
        <v>809</v>
      </c>
      <c r="D169" s="822">
        <f>D13</f>
        <v>80</v>
      </c>
      <c r="E169" s="823" t="s">
        <v>910</v>
      </c>
      <c r="F169" s="712" t="s">
        <v>820</v>
      </c>
      <c r="G169" s="712"/>
      <c r="H169" s="712"/>
      <c r="I169" s="712"/>
      <c r="J169" s="712"/>
      <c r="K169" s="787"/>
      <c r="L169" s="787"/>
      <c r="M169" s="787"/>
      <c r="N169" s="787"/>
      <c r="O169" s="787"/>
      <c r="P169" s="712"/>
      <c r="Q169" s="712"/>
      <c r="R169" s="787"/>
      <c r="S169" s="712"/>
      <c r="T169" s="712"/>
    </row>
    <row r="170" spans="1:20" s="752" customFormat="1">
      <c r="A170" s="712"/>
      <c r="B170" s="712"/>
      <c r="C170" s="805" t="s">
        <v>1219</v>
      </c>
      <c r="D170" s="824">
        <f>+(6.3598*D$48/100-4.2339)/(D$12/100)</f>
        <v>0.39596778774349994</v>
      </c>
      <c r="E170" s="823" t="s">
        <v>911</v>
      </c>
      <c r="F170" s="712"/>
      <c r="G170" s="712"/>
      <c r="H170" s="712"/>
      <c r="I170" s="712"/>
      <c r="J170" s="712"/>
      <c r="K170" s="787"/>
      <c r="L170" s="787"/>
      <c r="M170" s="787"/>
      <c r="N170" s="787"/>
      <c r="O170" s="787"/>
      <c r="P170" s="712"/>
      <c r="Q170" s="712"/>
      <c r="R170" s="787"/>
      <c r="S170" s="712"/>
      <c r="T170" s="712"/>
    </row>
    <row r="171" spans="1:20" s="752" customFormat="1">
      <c r="A171" s="712"/>
      <c r="B171" s="712"/>
      <c r="C171" s="805" t="s">
        <v>810</v>
      </c>
      <c r="D171" s="825">
        <f>+D170*D$148</f>
        <v>3137.5164134820625</v>
      </c>
      <c r="E171" s="823" t="s">
        <v>912</v>
      </c>
      <c r="F171" s="712"/>
      <c r="G171" s="712"/>
      <c r="H171" s="712"/>
      <c r="I171" s="712"/>
      <c r="J171" s="712"/>
      <c r="K171" s="787"/>
      <c r="L171" s="787"/>
      <c r="M171" s="787"/>
      <c r="N171" s="787"/>
      <c r="O171" s="787"/>
      <c r="P171" s="712"/>
      <c r="Q171" s="712"/>
      <c r="R171" s="787"/>
      <c r="S171" s="712"/>
      <c r="T171" s="712"/>
    </row>
    <row r="172" spans="1:20" s="752" customFormat="1" ht="15">
      <c r="A172" s="712"/>
      <c r="B172" s="712"/>
      <c r="C172" s="808" t="s">
        <v>811</v>
      </c>
      <c r="D172" s="810">
        <f>D171*D169</f>
        <v>251001.313078565</v>
      </c>
      <c r="E172" s="804" t="s">
        <v>877</v>
      </c>
      <c r="F172" s="712"/>
      <c r="G172" s="712"/>
      <c r="H172" s="712"/>
      <c r="I172" s="712"/>
      <c r="J172" s="712"/>
      <c r="K172" s="787"/>
      <c r="L172" s="787"/>
      <c r="M172" s="787"/>
      <c r="N172" s="787"/>
      <c r="O172" s="787"/>
      <c r="P172" s="712"/>
      <c r="Q172" s="712"/>
      <c r="R172" s="787"/>
      <c r="S172" s="712"/>
      <c r="T172" s="712"/>
    </row>
    <row r="173" spans="1:20" s="752" customFormat="1">
      <c r="A173" s="712"/>
      <c r="B173" s="712"/>
      <c r="C173" s="826" t="s">
        <v>808</v>
      </c>
      <c r="D173" s="827">
        <f>'Solid fuels - emission calc.'!K$33</f>
        <v>60</v>
      </c>
      <c r="E173" s="823" t="s">
        <v>48</v>
      </c>
      <c r="F173" s="712"/>
      <c r="G173" s="712"/>
      <c r="H173" s="712"/>
      <c r="I173" s="712"/>
      <c r="J173" s="712"/>
      <c r="K173" s="787"/>
      <c r="L173" s="787"/>
      <c r="M173" s="787"/>
      <c r="N173" s="787"/>
      <c r="O173" s="787"/>
      <c r="P173" s="712"/>
      <c r="Q173" s="712"/>
      <c r="R173" s="787"/>
      <c r="S173" s="712"/>
      <c r="T173" s="712"/>
    </row>
    <row r="174" spans="1:20" s="752" customFormat="1">
      <c r="A174" s="712"/>
      <c r="B174" s="712"/>
      <c r="C174" s="826" t="s">
        <v>807</v>
      </c>
      <c r="D174" s="825">
        <f>IF(D147="Y",'Solid fuels - emission calc.'!D$20*'Solid fuels - emission calc.'!D$21/100*'Solid fuels - emission calc.'!G$33/100*8760*(-0.039*'Solid fuels - emission calc.'!D$21+2.6553)/100,0)</f>
        <v>47974.14</v>
      </c>
      <c r="E174" s="828" t="s">
        <v>892</v>
      </c>
      <c r="F174" s="712"/>
      <c r="G174" s="712"/>
      <c r="H174" s="712"/>
      <c r="I174" s="712"/>
      <c r="J174" s="712"/>
      <c r="K174" s="787"/>
      <c r="L174" s="787"/>
      <c r="M174" s="787"/>
      <c r="N174" s="787"/>
      <c r="O174" s="787"/>
      <c r="P174" s="712"/>
      <c r="Q174" s="712"/>
      <c r="R174" s="787"/>
      <c r="S174" s="712"/>
      <c r="T174" s="712"/>
    </row>
    <row r="175" spans="1:20" s="752" customFormat="1" ht="15">
      <c r="A175" s="712"/>
      <c r="B175" s="712"/>
      <c r="C175" s="829" t="s">
        <v>1006</v>
      </c>
      <c r="D175" s="810">
        <f>+IF(D147="Y",D174*D173,0)</f>
        <v>2878448.4</v>
      </c>
      <c r="E175" s="804" t="s">
        <v>877</v>
      </c>
      <c r="F175" s="712"/>
      <c r="G175" s="712"/>
      <c r="H175" s="712"/>
      <c r="I175" s="712"/>
      <c r="J175" s="712"/>
      <c r="K175" s="787"/>
      <c r="L175" s="787"/>
      <c r="M175" s="787"/>
      <c r="N175" s="787"/>
      <c r="O175" s="787"/>
      <c r="P175" s="712"/>
      <c r="Q175" s="712"/>
      <c r="R175" s="787"/>
      <c r="S175" s="712"/>
      <c r="T175" s="712"/>
    </row>
    <row r="176" spans="1:20" s="752" customFormat="1">
      <c r="A176" s="712"/>
      <c r="B176" s="712"/>
      <c r="C176" s="830" t="s">
        <v>893</v>
      </c>
      <c r="D176" s="831">
        <f>+IF(D$149="Y",D$23,D$24)</f>
        <v>20</v>
      </c>
      <c r="E176" s="823" t="s">
        <v>894</v>
      </c>
      <c r="F176" s="1179" t="s">
        <v>895</v>
      </c>
      <c r="G176" s="1179"/>
      <c r="H176" s="712"/>
      <c r="I176" s="712"/>
      <c r="J176" s="712"/>
      <c r="K176" s="787"/>
      <c r="L176" s="787"/>
      <c r="M176" s="787"/>
      <c r="N176" s="787"/>
      <c r="O176" s="787"/>
      <c r="P176" s="712"/>
      <c r="Q176" s="712"/>
      <c r="R176" s="787"/>
      <c r="S176" s="712"/>
      <c r="T176" s="712"/>
    </row>
    <row r="177" spans="1:20" s="752" customFormat="1">
      <c r="A177" s="712"/>
      <c r="B177" s="712"/>
      <c r="C177" s="830" t="s">
        <v>896</v>
      </c>
      <c r="D177" s="832">
        <f>D170*((100-D$12)/100+D$12/100*2.366)</f>
        <v>0.91522410587881609</v>
      </c>
      <c r="E177" s="823" t="s">
        <v>897</v>
      </c>
      <c r="F177" s="712"/>
      <c r="G177" s="712"/>
      <c r="H177" s="712"/>
      <c r="I177" s="712"/>
      <c r="J177" s="712"/>
      <c r="K177" s="787"/>
      <c r="L177" s="787"/>
      <c r="M177" s="787"/>
      <c r="N177" s="787"/>
      <c r="O177" s="787"/>
      <c r="P177" s="712"/>
      <c r="Q177" s="712"/>
      <c r="R177" s="787"/>
      <c r="S177" s="712"/>
      <c r="T177" s="712"/>
    </row>
    <row r="178" spans="1:20">
      <c r="C178" s="803" t="s">
        <v>898</v>
      </c>
      <c r="D178" s="834">
        <f>D177*D148</f>
        <v>7251.9299374658995</v>
      </c>
      <c r="E178" s="823" t="s">
        <v>963</v>
      </c>
      <c r="K178" s="787"/>
      <c r="L178" s="787"/>
      <c r="M178" s="787"/>
    </row>
    <row r="179" spans="1:20" ht="15">
      <c r="C179" s="808" t="s">
        <v>899</v>
      </c>
      <c r="D179" s="810">
        <f>D178*D176</f>
        <v>145038.59874931799</v>
      </c>
      <c r="E179" s="804" t="s">
        <v>877</v>
      </c>
    </row>
    <row r="180" spans="1:20">
      <c r="C180" s="723"/>
      <c r="D180" s="835"/>
      <c r="E180" s="727"/>
    </row>
    <row r="181" spans="1:20" ht="15">
      <c r="C181" s="813" t="s">
        <v>900</v>
      </c>
      <c r="D181" s="814">
        <f>+D166+D172+D175+D179</f>
        <v>5171080.6373146968</v>
      </c>
      <c r="E181" s="815" t="s">
        <v>877</v>
      </c>
      <c r="F181" s="1180"/>
    </row>
    <row r="182" spans="1:20" ht="15">
      <c r="C182" s="829"/>
      <c r="D182" s="836"/>
      <c r="E182" s="837"/>
      <c r="F182" s="1180"/>
    </row>
    <row r="183" spans="1:20" ht="15">
      <c r="C183" s="1167" t="s">
        <v>913</v>
      </c>
      <c r="D183" s="1168"/>
      <c r="E183" s="1169"/>
      <c r="F183" s="1180"/>
    </row>
    <row r="184" spans="1:20" ht="15">
      <c r="C184" s="813" t="s">
        <v>902</v>
      </c>
      <c r="D184" s="814">
        <f>D148</f>
        <v>7923.6657894871059</v>
      </c>
      <c r="E184" s="815" t="s">
        <v>873</v>
      </c>
      <c r="F184" s="1180"/>
    </row>
    <row r="185" spans="1:20" ht="16.5">
      <c r="C185" s="813" t="s">
        <v>1045</v>
      </c>
      <c r="D185" s="814">
        <f>D$47</f>
        <v>200</v>
      </c>
      <c r="E185" s="838" t="s">
        <v>1243</v>
      </c>
      <c r="F185" s="1180"/>
    </row>
    <row r="186" spans="1:20" ht="16.5">
      <c r="C186" s="813" t="s">
        <v>1046</v>
      </c>
      <c r="D186" s="814">
        <f>D$43</f>
        <v>728.5950193602356</v>
      </c>
      <c r="E186" s="838" t="s">
        <v>1243</v>
      </c>
      <c r="F186" s="1180"/>
    </row>
    <row r="187" spans="1:20" ht="15">
      <c r="C187" s="813" t="s">
        <v>905</v>
      </c>
      <c r="D187" s="850">
        <f>(1-D185/D186)*100</f>
        <v>72.549908428468825</v>
      </c>
      <c r="E187" s="815" t="s">
        <v>87</v>
      </c>
      <c r="F187" s="1180"/>
    </row>
    <row r="188" spans="1:20" ht="15">
      <c r="C188" s="813" t="s">
        <v>906</v>
      </c>
      <c r="D188" s="814">
        <f>+D161</f>
        <v>127501845.76169676</v>
      </c>
      <c r="E188" s="815" t="s">
        <v>123</v>
      </c>
    </row>
    <row r="189" spans="1:20" ht="15">
      <c r="C189" s="813" t="s">
        <v>879</v>
      </c>
      <c r="D189" s="814">
        <f>D181+D164</f>
        <v>16638736.944451801</v>
      </c>
      <c r="E189" s="815" t="s">
        <v>877</v>
      </c>
    </row>
    <row r="190" spans="1:20" ht="15">
      <c r="C190" s="813" t="s">
        <v>814</v>
      </c>
      <c r="D190" s="814">
        <f>+IF(D147="Y",D189/D148,0)</f>
        <v>2099.8786908109632</v>
      </c>
      <c r="E190" s="815" t="s">
        <v>907</v>
      </c>
    </row>
    <row r="191" spans="1:20" ht="15">
      <c r="C191" s="813" t="s">
        <v>908</v>
      </c>
      <c r="D191" s="814">
        <f>+D161/('Solid fuels - emission calc.'!D$20*1000)</f>
        <v>102.00147660935741</v>
      </c>
      <c r="E191" s="815" t="s">
        <v>303</v>
      </c>
    </row>
    <row r="192" spans="1:20" ht="15">
      <c r="C192" s="813" t="s">
        <v>813</v>
      </c>
      <c r="D192" s="841">
        <f>+D174/('Solid fuels - emission calc.'!D$20*'Solid fuels - emission calc.'!D$21/100*'Solid fuels - emission calc.'!G$33/100*8760)*100</f>
        <v>1.0952999999999999</v>
      </c>
      <c r="E192" s="815" t="s">
        <v>87</v>
      </c>
    </row>
    <row r="193" spans="3:5" ht="15">
      <c r="C193" s="794" t="s">
        <v>815</v>
      </c>
      <c r="D193" s="843">
        <f>IF(D189&gt;0,D$164/D189,"n/a")</f>
        <v>0.6892143523526888</v>
      </c>
      <c r="E193" s="844"/>
    </row>
    <row r="194" spans="3:5" ht="15.75" thickBot="1">
      <c r="C194" s="798" t="s">
        <v>816</v>
      </c>
      <c r="D194" s="845">
        <f>IF(D189&gt;0,D181/D189,"n/a")</f>
        <v>0.3107856476473112</v>
      </c>
      <c r="E194" s="846"/>
    </row>
    <row r="195" spans="3:5">
      <c r="C195" s="723"/>
      <c r="D195" s="847"/>
      <c r="E195" s="727"/>
    </row>
    <row r="196" spans="3:5" ht="15">
      <c r="C196" s="1167" t="s">
        <v>914</v>
      </c>
      <c r="D196" s="1168"/>
      <c r="E196" s="1169"/>
    </row>
    <row r="197" spans="3:5" ht="15">
      <c r="C197" s="813" t="s">
        <v>902</v>
      </c>
      <c r="D197" s="814">
        <f>+D148+D$73</f>
        <v>16661.006426987165</v>
      </c>
      <c r="E197" s="815" t="s">
        <v>873</v>
      </c>
    </row>
    <row r="198" spans="3:5" ht="16.5">
      <c r="C198" s="813" t="s">
        <v>1045</v>
      </c>
      <c r="D198" s="814">
        <f>+D$119</f>
        <v>200</v>
      </c>
      <c r="E198" s="838" t="s">
        <v>1243</v>
      </c>
    </row>
    <row r="199" spans="3:5" ht="16.5">
      <c r="C199" s="813" t="s">
        <v>1046</v>
      </c>
      <c r="D199" s="814">
        <f>+'Solid fuels - emission calc.'!J$106</f>
        <v>1311.4710348484239</v>
      </c>
      <c r="E199" s="838" t="s">
        <v>1243</v>
      </c>
    </row>
    <row r="200" spans="3:5" ht="15">
      <c r="C200" s="813" t="s">
        <v>905</v>
      </c>
      <c r="D200" s="814">
        <f>(1-D198/D199)*100</f>
        <v>84.74994912692712</v>
      </c>
      <c r="E200" s="815" t="s">
        <v>87</v>
      </c>
    </row>
    <row r="201" spans="3:5" ht="15">
      <c r="C201" s="813" t="s">
        <v>906</v>
      </c>
      <c r="D201" s="814">
        <f>+D161</f>
        <v>127501845.76169676</v>
      </c>
      <c r="E201" s="815" t="s">
        <v>123</v>
      </c>
    </row>
    <row r="202" spans="3:5" ht="15">
      <c r="C202" s="813" t="s">
        <v>879</v>
      </c>
      <c r="D202" s="814">
        <f>+D181+D164+D$79</f>
        <v>25420794.526229016</v>
      </c>
      <c r="E202" s="815" t="s">
        <v>877</v>
      </c>
    </row>
    <row r="203" spans="3:5" ht="15">
      <c r="C203" s="813" t="s">
        <v>814</v>
      </c>
      <c r="D203" s="814">
        <f>+IF(D147="Y",D202/D197,0)</f>
        <v>1525.765843595914</v>
      </c>
      <c r="E203" s="815" t="s">
        <v>907</v>
      </c>
    </row>
    <row r="204" spans="3:5" ht="15">
      <c r="C204" s="813" t="s">
        <v>908</v>
      </c>
      <c r="D204" s="814">
        <f>+D191</f>
        <v>102.00147660935741</v>
      </c>
      <c r="E204" s="815" t="s">
        <v>303</v>
      </c>
    </row>
    <row r="205" spans="3:5" ht="15">
      <c r="C205" s="813" t="s">
        <v>813</v>
      </c>
      <c r="D205" s="841">
        <f>+D192</f>
        <v>1.0952999999999999</v>
      </c>
      <c r="E205" s="815" t="s">
        <v>87</v>
      </c>
    </row>
    <row r="206" spans="3:5" ht="15">
      <c r="C206" s="794" t="s">
        <v>815</v>
      </c>
      <c r="D206" s="843">
        <f>IF(D202&gt;0,D164/D202,"n/a")</f>
        <v>0.45111321344833843</v>
      </c>
      <c r="E206" s="844"/>
    </row>
    <row r="207" spans="3:5" ht="15.75" thickBot="1">
      <c r="C207" s="798" t="s">
        <v>816</v>
      </c>
      <c r="D207" s="845">
        <f>IF(D202&gt;0,(D181+D79)/D202,"n/a")</f>
        <v>0.54888678655166145</v>
      </c>
      <c r="E207" s="846"/>
    </row>
    <row r="209" spans="3:13" ht="15" thickBot="1"/>
    <row r="210" spans="3:13" ht="15">
      <c r="C210" s="1173" t="s">
        <v>996</v>
      </c>
      <c r="D210" s="1174"/>
      <c r="E210" s="1175"/>
    </row>
    <row r="211" spans="3:13" ht="15" thickBot="1">
      <c r="C211" s="801" t="s">
        <v>1042</v>
      </c>
      <c r="D211" s="802" t="str">
        <f>+D46</f>
        <v>y</v>
      </c>
      <c r="E211" s="743" t="s">
        <v>85</v>
      </c>
    </row>
    <row r="212" spans="3:13">
      <c r="C212" s="803" t="s">
        <v>794</v>
      </c>
      <c r="D212" s="851">
        <f>+IF(D211="Y",'Solid fuels - emission calc.'!$D$20*3.6*'Solid fuels - emission calc.'!$G$33/100*8760*(M$66/1000)*(D$48/100),0)</f>
        <v>7923.6657894871059</v>
      </c>
      <c r="E212" s="804" t="s">
        <v>873</v>
      </c>
      <c r="J212" s="852"/>
      <c r="K212" s="853"/>
      <c r="L212" s="853"/>
      <c r="M212" s="854" t="s">
        <v>915</v>
      </c>
    </row>
    <row r="213" spans="3:13">
      <c r="C213" s="803" t="s">
        <v>881</v>
      </c>
      <c r="D213" s="581" t="s">
        <v>95</v>
      </c>
      <c r="E213" s="804" t="s">
        <v>882</v>
      </c>
      <c r="J213" s="723"/>
      <c r="K213" s="724"/>
      <c r="L213" s="724"/>
      <c r="M213" s="727">
        <v>30</v>
      </c>
    </row>
    <row r="214" spans="3:13">
      <c r="C214" s="1176" t="s">
        <v>58</v>
      </c>
      <c r="D214" s="1177"/>
      <c r="E214" s="1178"/>
      <c r="J214" s="723"/>
      <c r="K214" s="724"/>
      <c r="L214" s="724"/>
      <c r="M214" s="727">
        <v>5</v>
      </c>
    </row>
    <row r="215" spans="3:13">
      <c r="C215" s="805" t="s">
        <v>998</v>
      </c>
      <c r="D215" s="806">
        <f>IF(D211="Y",'Solid fuel_Fabric_Filter DSI '!D86,0)</f>
        <v>61626453.830476314</v>
      </c>
      <c r="E215" s="807" t="s">
        <v>123</v>
      </c>
      <c r="J215" s="723"/>
      <c r="K215" s="724"/>
      <c r="L215" s="724"/>
      <c r="M215" s="727"/>
    </row>
    <row r="216" spans="3:13">
      <c r="C216" s="805" t="s">
        <v>1202</v>
      </c>
      <c r="D216" s="806">
        <f>0.3*D215</f>
        <v>18487936.149142895</v>
      </c>
      <c r="E216" s="807" t="s">
        <v>123</v>
      </c>
      <c r="J216" s="723" t="s">
        <v>916</v>
      </c>
      <c r="K216" s="749"/>
      <c r="L216" s="724"/>
      <c r="M216" s="855">
        <v>2.5</v>
      </c>
    </row>
    <row r="217" spans="3:13" ht="15">
      <c r="C217" s="813" t="s">
        <v>999</v>
      </c>
      <c r="D217" s="814">
        <f>+D216+D215</f>
        <v>80114389.979619205</v>
      </c>
      <c r="E217" s="856" t="s">
        <v>123</v>
      </c>
    </row>
    <row r="218" spans="3:13">
      <c r="C218" s="803"/>
      <c r="D218" s="818"/>
      <c r="E218" s="807"/>
    </row>
    <row r="219" spans="3:13">
      <c r="C219" s="803"/>
      <c r="D219" s="818"/>
      <c r="E219" s="807"/>
    </row>
    <row r="220" spans="3:13" ht="15">
      <c r="C220" s="808"/>
      <c r="D220" s="857"/>
      <c r="E220" s="807"/>
    </row>
    <row r="221" spans="3:13">
      <c r="C221" s="803"/>
      <c r="D221" s="811"/>
      <c r="E221" s="812"/>
    </row>
    <row r="222" spans="3:13">
      <c r="C222" s="803"/>
      <c r="D222" s="811"/>
      <c r="E222" s="804"/>
    </row>
    <row r="223" spans="3:13" ht="15">
      <c r="C223" s="813" t="s">
        <v>34</v>
      </c>
      <c r="D223" s="814">
        <f>+D217*'Solid fuels - emission calc.'!J5</f>
        <v>7205576.3903162153</v>
      </c>
      <c r="E223" s="815" t="s">
        <v>877</v>
      </c>
    </row>
    <row r="224" spans="3:13">
      <c r="C224" s="1176" t="s">
        <v>33</v>
      </c>
      <c r="D224" s="1177"/>
      <c r="E224" s="1178"/>
    </row>
    <row r="225" spans="3:5" ht="15">
      <c r="C225" s="808" t="s">
        <v>30</v>
      </c>
      <c r="D225" s="810">
        <f>IF(D211="Y",D217*'Solid fuels - emission calc.'!$G$4,0)</f>
        <v>1602287.7995923841</v>
      </c>
      <c r="E225" s="804" t="s">
        <v>877</v>
      </c>
    </row>
    <row r="226" spans="3:5">
      <c r="C226" s="803"/>
      <c r="D226" s="818"/>
      <c r="E226" s="804"/>
    </row>
    <row r="227" spans="3:5">
      <c r="C227" s="803"/>
      <c r="D227" s="821"/>
      <c r="E227" s="804"/>
    </row>
    <row r="228" spans="3:5">
      <c r="C228" s="805" t="s">
        <v>809</v>
      </c>
      <c r="D228" s="822">
        <f>+D15</f>
        <v>80</v>
      </c>
      <c r="E228" s="823" t="s">
        <v>910</v>
      </c>
    </row>
    <row r="229" spans="3:5">
      <c r="C229" s="805" t="s">
        <v>1219</v>
      </c>
      <c r="D229" s="824">
        <f>+(6.5625*D$48/100-1.2396)/(D$14/100)</f>
        <v>3.6682163964773613</v>
      </c>
      <c r="E229" s="823" t="s">
        <v>911</v>
      </c>
    </row>
    <row r="230" spans="3:5">
      <c r="C230" s="805" t="s">
        <v>810</v>
      </c>
      <c r="D230" s="825">
        <f>+IF(D211="Y",D229*D212,0)</f>
        <v>29065.720769203337</v>
      </c>
      <c r="E230" s="823" t="s">
        <v>912</v>
      </c>
    </row>
    <row r="231" spans="3:5" ht="15">
      <c r="C231" s="808" t="s">
        <v>811</v>
      </c>
      <c r="D231" s="810">
        <f>D230*D228</f>
        <v>2325257.661536267</v>
      </c>
      <c r="E231" s="804" t="s">
        <v>877</v>
      </c>
    </row>
    <row r="232" spans="3:5">
      <c r="C232" s="826" t="s">
        <v>808</v>
      </c>
      <c r="D232" s="827">
        <f>'Solid fuels - emission calc.'!K$33</f>
        <v>60</v>
      </c>
      <c r="E232" s="823" t="s">
        <v>48</v>
      </c>
    </row>
    <row r="233" spans="3:5">
      <c r="C233" s="826" t="s">
        <v>807</v>
      </c>
      <c r="D233" s="825">
        <f>IF(D211="Y",'Solid fuel_Fabric_Filter DSI '!D98/D232,0)</f>
        <v>37556.855879734088</v>
      </c>
      <c r="E233" s="828" t="s">
        <v>892</v>
      </c>
    </row>
    <row r="234" spans="3:5" ht="15">
      <c r="C234" s="829" t="s">
        <v>1005</v>
      </c>
      <c r="D234" s="810">
        <f>+D233*D232</f>
        <v>2253411.3527840455</v>
      </c>
      <c r="E234" s="804" t="s">
        <v>877</v>
      </c>
    </row>
    <row r="235" spans="3:5">
      <c r="C235" s="830" t="s">
        <v>893</v>
      </c>
      <c r="D235" s="831">
        <f>+IF(D$213="Y",D$27,D$28)</f>
        <v>40</v>
      </c>
      <c r="E235" s="823" t="s">
        <v>894</v>
      </c>
    </row>
    <row r="236" spans="3:5">
      <c r="C236" s="830" t="s">
        <v>896</v>
      </c>
      <c r="D236" s="832">
        <f>D229*((100-D$12)/100+D$12/100*2.366)</f>
        <v>8.4785686501619146</v>
      </c>
      <c r="E236" s="823" t="s">
        <v>897</v>
      </c>
    </row>
    <row r="237" spans="3:5">
      <c r="C237" s="803" t="s">
        <v>898</v>
      </c>
      <c r="D237" s="834">
        <f>IF(D211="Y",D236*D212,0)</f>
        <v>67181.344357105831</v>
      </c>
      <c r="E237" s="823" t="s">
        <v>1003</v>
      </c>
    </row>
    <row r="238" spans="3:5">
      <c r="C238" s="803" t="s">
        <v>1001</v>
      </c>
      <c r="D238" s="834">
        <f>IF(D211="Y",D237*'Solid fuel_Fabric_Filter DSI '!D13/100,0)</f>
        <v>67031.443856736427</v>
      </c>
      <c r="E238" s="823" t="s">
        <v>1004</v>
      </c>
    </row>
    <row r="239" spans="3:5">
      <c r="C239" s="803" t="s">
        <v>1002</v>
      </c>
      <c r="D239" s="834">
        <f>D237/M61*M63*1000000000</f>
        <v>4481.7291597794238</v>
      </c>
      <c r="E239" s="823" t="s">
        <v>997</v>
      </c>
    </row>
    <row r="240" spans="3:5" ht="15">
      <c r="C240" s="808" t="s">
        <v>987</v>
      </c>
      <c r="D240" s="810">
        <f>D238*D235</f>
        <v>2681257.754269457</v>
      </c>
      <c r="E240" s="804" t="s">
        <v>877</v>
      </c>
    </row>
    <row r="241" spans="3:5" ht="15">
      <c r="C241" s="829" t="s">
        <v>1007</v>
      </c>
      <c r="D241" s="810">
        <f>+IF(D211="Y",'Solid fuel_Fabric_Filter DSI '!D99,0)</f>
        <v>1835123.1775374929</v>
      </c>
      <c r="E241" s="804" t="s">
        <v>877</v>
      </c>
    </row>
    <row r="242" spans="3:5" ht="15">
      <c r="C242" s="813" t="s">
        <v>900</v>
      </c>
      <c r="D242" s="814">
        <f>+D225+D231+D234+D240+D241</f>
        <v>10697337.745719647</v>
      </c>
      <c r="E242" s="815" t="s">
        <v>877</v>
      </c>
    </row>
    <row r="243" spans="3:5" ht="15">
      <c r="C243" s="829"/>
      <c r="D243" s="836"/>
      <c r="E243" s="837"/>
    </row>
    <row r="244" spans="3:5" ht="15">
      <c r="C244" s="1167" t="s">
        <v>1009</v>
      </c>
      <c r="D244" s="1168"/>
      <c r="E244" s="1169"/>
    </row>
    <row r="245" spans="3:5" ht="15">
      <c r="C245" s="813" t="s">
        <v>902</v>
      </c>
      <c r="D245" s="814">
        <f>D212</f>
        <v>7923.6657894871059</v>
      </c>
      <c r="E245" s="815" t="s">
        <v>873</v>
      </c>
    </row>
    <row r="246" spans="3:5" ht="16.5">
      <c r="C246" s="813" t="s">
        <v>1045</v>
      </c>
      <c r="D246" s="814">
        <f>D$47</f>
        <v>200</v>
      </c>
      <c r="E246" s="838" t="s">
        <v>1243</v>
      </c>
    </row>
    <row r="247" spans="3:5" ht="16.5">
      <c r="C247" s="813" t="s">
        <v>1046</v>
      </c>
      <c r="D247" s="814">
        <f>D$43</f>
        <v>728.5950193602356</v>
      </c>
      <c r="E247" s="838" t="s">
        <v>1243</v>
      </c>
    </row>
    <row r="248" spans="3:5" ht="15">
      <c r="C248" s="813" t="s">
        <v>1008</v>
      </c>
      <c r="D248" s="850">
        <f>(1-D246/D247)*100</f>
        <v>72.549908428468825</v>
      </c>
      <c r="E248" s="815" t="s">
        <v>87</v>
      </c>
    </row>
    <row r="249" spans="3:5" ht="15">
      <c r="C249" s="813" t="s">
        <v>906</v>
      </c>
      <c r="D249" s="814">
        <f>+D217</f>
        <v>80114389.979619205</v>
      </c>
      <c r="E249" s="815" t="s">
        <v>123</v>
      </c>
    </row>
    <row r="250" spans="3:5" ht="15">
      <c r="C250" s="813" t="s">
        <v>879</v>
      </c>
      <c r="D250" s="814">
        <f>D242+D223</f>
        <v>17902914.136035863</v>
      </c>
      <c r="E250" s="815" t="s">
        <v>877</v>
      </c>
    </row>
    <row r="251" spans="3:5" ht="15">
      <c r="C251" s="813" t="s">
        <v>814</v>
      </c>
      <c r="D251" s="814">
        <f>+IF(D211="Y",D250/D212,0)</f>
        <v>2259.4231775637154</v>
      </c>
      <c r="E251" s="815" t="s">
        <v>907</v>
      </c>
    </row>
    <row r="252" spans="3:5" ht="15">
      <c r="C252" s="813" t="s">
        <v>908</v>
      </c>
      <c r="D252" s="814">
        <f>+D217/('Solid fuels - emission calc.'!D$20*1000)</f>
        <v>64.091511983695369</v>
      </c>
      <c r="E252" s="815" t="s">
        <v>303</v>
      </c>
    </row>
    <row r="253" spans="3:5" ht="15">
      <c r="C253" s="813" t="s">
        <v>813</v>
      </c>
      <c r="D253" s="841">
        <f>+D233/('Solid fuels - emission calc.'!D$20*'Solid fuels - emission calc.'!D$21/100*'Solid fuels - emission calc.'!G$33/100*8760)*100</f>
        <v>0.85746246300762752</v>
      </c>
      <c r="E253" s="815" t="s">
        <v>87</v>
      </c>
    </row>
    <row r="254" spans="3:5" ht="15">
      <c r="C254" s="794" t="s">
        <v>815</v>
      </c>
      <c r="D254" s="843">
        <f>IF(D250&gt;0,D223/D250,"n/a")</f>
        <v>0.40248064284755058</v>
      </c>
      <c r="E254" s="844"/>
    </row>
    <row r="255" spans="3:5" ht="15">
      <c r="C255" s="794" t="s">
        <v>816</v>
      </c>
      <c r="D255" s="843">
        <f>IF(D250&gt;0,D242/D250,"n/a")</f>
        <v>0.5975193571524493</v>
      </c>
      <c r="E255" s="844"/>
    </row>
    <row r="256" spans="3:5">
      <c r="C256" s="723"/>
      <c r="D256" s="724"/>
      <c r="E256" s="727"/>
    </row>
    <row r="257" spans="3:5" ht="15">
      <c r="C257" s="1167" t="s">
        <v>1015</v>
      </c>
      <c r="D257" s="1168"/>
      <c r="E257" s="1169"/>
    </row>
    <row r="258" spans="3:5" ht="15">
      <c r="C258" s="813" t="s">
        <v>902</v>
      </c>
      <c r="D258" s="814">
        <f>+D212+D$73</f>
        <v>16661.006426987165</v>
      </c>
      <c r="E258" s="815" t="s">
        <v>873</v>
      </c>
    </row>
    <row r="259" spans="3:5" ht="16.5">
      <c r="C259" s="813" t="s">
        <v>1045</v>
      </c>
      <c r="D259" s="814">
        <f>+D$119</f>
        <v>200</v>
      </c>
      <c r="E259" s="838" t="s">
        <v>1243</v>
      </c>
    </row>
    <row r="260" spans="3:5" ht="16.5">
      <c r="C260" s="813" t="s">
        <v>1046</v>
      </c>
      <c r="D260" s="814">
        <f>+'Solid fuels - emission calc.'!J$106</f>
        <v>1311.4710348484239</v>
      </c>
      <c r="E260" s="838" t="s">
        <v>1243</v>
      </c>
    </row>
    <row r="261" spans="3:5" ht="15">
      <c r="C261" s="813" t="s">
        <v>905</v>
      </c>
      <c r="D261" s="850">
        <f>(1-D259/D260)*100</f>
        <v>84.74994912692712</v>
      </c>
      <c r="E261" s="815" t="s">
        <v>87</v>
      </c>
    </row>
    <row r="262" spans="3:5" ht="15">
      <c r="C262" s="813" t="s">
        <v>906</v>
      </c>
      <c r="D262" s="814">
        <f>+D217</f>
        <v>80114389.979619205</v>
      </c>
      <c r="E262" s="815" t="s">
        <v>123</v>
      </c>
    </row>
    <row r="263" spans="3:5" ht="15">
      <c r="C263" s="813" t="s">
        <v>879</v>
      </c>
      <c r="D263" s="814">
        <f>+D242+D223+D$79</f>
        <v>26684971.717813078</v>
      </c>
      <c r="E263" s="815" t="s">
        <v>877</v>
      </c>
    </row>
    <row r="264" spans="3:5" ht="15">
      <c r="C264" s="813" t="s">
        <v>814</v>
      </c>
      <c r="D264" s="814">
        <f>IF(D211="Y",+D263/D258,0)</f>
        <v>1601.6422438076306</v>
      </c>
      <c r="E264" s="815" t="s">
        <v>907</v>
      </c>
    </row>
    <row r="265" spans="3:5" ht="15">
      <c r="C265" s="813" t="s">
        <v>908</v>
      </c>
      <c r="D265" s="814">
        <f>+D252</f>
        <v>64.091511983695369</v>
      </c>
      <c r="E265" s="815" t="s">
        <v>303</v>
      </c>
    </row>
    <row r="266" spans="3:5" ht="15">
      <c r="C266" s="813" t="s">
        <v>813</v>
      </c>
      <c r="D266" s="841">
        <f>+D253</f>
        <v>0.85746246300762752</v>
      </c>
      <c r="E266" s="815" t="s">
        <v>87</v>
      </c>
    </row>
    <row r="267" spans="3:5" ht="15">
      <c r="C267" s="794" t="s">
        <v>815</v>
      </c>
      <c r="D267" s="843">
        <f>IF(D263&gt;0,D223/D263,"n/a")</f>
        <v>0.27002375968441672</v>
      </c>
      <c r="E267" s="844"/>
    </row>
    <row r="268" spans="3:5" ht="15.75" thickBot="1">
      <c r="C268" s="798" t="s">
        <v>816</v>
      </c>
      <c r="D268" s="845">
        <f>IF(D263&gt;0,(D242+D79)/D263,"n/a")</f>
        <v>0.72997624031558328</v>
      </c>
      <c r="E268" s="846"/>
    </row>
  </sheetData>
  <mergeCells count="37">
    <mergeCell ref="C5:E5"/>
    <mergeCell ref="N6:O6"/>
    <mergeCell ref="C9:E9"/>
    <mergeCell ref="C33:E33"/>
    <mergeCell ref="R41:T41"/>
    <mergeCell ref="N86:P86"/>
    <mergeCell ref="C87:E87"/>
    <mergeCell ref="C99:E99"/>
    <mergeCell ref="N99:O99"/>
    <mergeCell ref="N41:O41"/>
    <mergeCell ref="C42:E42"/>
    <mergeCell ref="N49:P49"/>
    <mergeCell ref="D53:E53"/>
    <mergeCell ref="F53:G53"/>
    <mergeCell ref="L53:N53"/>
    <mergeCell ref="F115:F121"/>
    <mergeCell ref="C117:E117"/>
    <mergeCell ref="C130:E130"/>
    <mergeCell ref="C146:E146"/>
    <mergeCell ref="C72:E72"/>
    <mergeCell ref="C83:E83"/>
    <mergeCell ref="C244:E244"/>
    <mergeCell ref="C257:E257"/>
    <mergeCell ref="C196:E196"/>
    <mergeCell ref="N19:P19"/>
    <mergeCell ref="R19:T19"/>
    <mergeCell ref="C210:E210"/>
    <mergeCell ref="C214:E214"/>
    <mergeCell ref="C224:E224"/>
    <mergeCell ref="C153:E153"/>
    <mergeCell ref="C165:E165"/>
    <mergeCell ref="F166:G166"/>
    <mergeCell ref="F176:G176"/>
    <mergeCell ref="F181:F187"/>
    <mergeCell ref="C183:E183"/>
    <mergeCell ref="F100:G100"/>
    <mergeCell ref="F110:G110"/>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dimension ref="A2:V148"/>
  <sheetViews>
    <sheetView topLeftCell="A7" workbookViewId="0">
      <selection activeCell="D42" sqref="D42"/>
    </sheetView>
  </sheetViews>
  <sheetFormatPr baseColWidth="10" defaultRowHeight="15"/>
  <cols>
    <col min="1" max="1" width="7" style="702" customWidth="1"/>
    <col min="2" max="2" width="6.85546875" style="702" customWidth="1"/>
    <col min="3" max="3" width="44.7109375" style="702" customWidth="1"/>
    <col min="4" max="4" width="21.42578125" style="702" customWidth="1"/>
    <col min="5" max="5" width="20.85546875" style="702" customWidth="1"/>
    <col min="6" max="6" width="15.5703125" style="702" bestFit="1" customWidth="1"/>
    <col min="7" max="7" width="10" style="702" bestFit="1" customWidth="1"/>
    <col min="8" max="8" width="4.28515625" style="702" customWidth="1"/>
    <col min="9" max="13" width="11.42578125" style="702"/>
    <col min="14" max="14" width="36.42578125" style="702" customWidth="1"/>
    <col min="15" max="15" width="41.7109375" style="702" customWidth="1"/>
    <col min="16" max="16" width="19.28515625" style="702" customWidth="1"/>
    <col min="17" max="17" width="11.42578125" style="702"/>
    <col min="18" max="18" width="27" style="702" bestFit="1" customWidth="1"/>
    <col min="19" max="19" width="27.85546875" style="702" bestFit="1" customWidth="1"/>
    <col min="20" max="16384" width="11.42578125" style="702"/>
  </cols>
  <sheetData>
    <row r="2" spans="1:22" ht="27.75">
      <c r="A2" s="708"/>
      <c r="B2" s="708"/>
      <c r="C2" s="709" t="s">
        <v>692</v>
      </c>
      <c r="D2" s="710"/>
      <c r="E2" s="710"/>
      <c r="F2" s="710"/>
      <c r="G2" s="710"/>
      <c r="H2" s="710"/>
      <c r="I2" s="710"/>
      <c r="J2" s="710"/>
      <c r="K2" s="710"/>
      <c r="L2" s="710"/>
      <c r="M2" s="710"/>
      <c r="N2" s="709" t="str">
        <f>C2&amp;" - Reference Boxes"</f>
        <v>Bottom up approach to define total filtration area - Reference Boxes</v>
      </c>
      <c r="O2" s="710"/>
      <c r="P2" s="710"/>
      <c r="Q2" s="710"/>
      <c r="R2" s="708"/>
      <c r="S2" s="711"/>
      <c r="T2" s="708"/>
      <c r="U2" s="708"/>
      <c r="V2" s="708"/>
    </row>
    <row r="3" spans="1:22" ht="15.75" thickBot="1">
      <c r="A3" s="702" t="s">
        <v>1000</v>
      </c>
    </row>
    <row r="4" spans="1:22">
      <c r="N4" s="1050" t="s">
        <v>982</v>
      </c>
      <c r="O4" s="1052"/>
    </row>
    <row r="5" spans="1:22">
      <c r="N5" s="723" t="s">
        <v>1244</v>
      </c>
      <c r="O5" s="858"/>
      <c r="P5" s="702" t="s">
        <v>819</v>
      </c>
    </row>
    <row r="6" spans="1:22" ht="15.75" thickBot="1">
      <c r="N6" s="723" t="s">
        <v>984</v>
      </c>
      <c r="O6" s="858"/>
    </row>
    <row r="7" spans="1:22" ht="15.75" thickBot="1">
      <c r="C7" s="859" t="s">
        <v>981</v>
      </c>
      <c r="D7" s="860"/>
      <c r="E7" s="861"/>
      <c r="N7" s="731"/>
      <c r="O7" s="862"/>
    </row>
    <row r="8" spans="1:22" ht="15.75" customHeight="1" thickBot="1">
      <c r="C8" s="723" t="s">
        <v>830</v>
      </c>
      <c r="D8" s="722"/>
      <c r="E8" s="727" t="s">
        <v>831</v>
      </c>
    </row>
    <row r="9" spans="1:22" ht="15.75" customHeight="1" thickBot="1">
      <c r="C9" s="731" t="s">
        <v>833</v>
      </c>
      <c r="D9" s="863"/>
      <c r="E9" s="733" t="s">
        <v>831</v>
      </c>
      <c r="N9" s="1050" t="s">
        <v>731</v>
      </c>
      <c r="O9" s="1052"/>
    </row>
    <row r="10" spans="1:22" ht="15.75" thickBot="1">
      <c r="N10" s="864" t="s">
        <v>725</v>
      </c>
      <c r="O10" s="865" t="s">
        <v>726</v>
      </c>
      <c r="P10" s="866" t="s">
        <v>743</v>
      </c>
    </row>
    <row r="11" spans="1:22" ht="30.75" thickBot="1">
      <c r="C11" s="1050" t="s">
        <v>1203</v>
      </c>
      <c r="D11" s="1051"/>
      <c r="E11" s="1052"/>
      <c r="N11" s="867" t="s">
        <v>727</v>
      </c>
      <c r="O11" s="865" t="s">
        <v>728</v>
      </c>
      <c r="P11" s="866" t="s">
        <v>739</v>
      </c>
    </row>
    <row r="12" spans="1:22" ht="18" customHeight="1" thickBot="1">
      <c r="C12" s="705" t="s">
        <v>1177</v>
      </c>
      <c r="D12" s="706">
        <v>10</v>
      </c>
      <c r="E12" s="714" t="s">
        <v>994</v>
      </c>
      <c r="K12" s="868"/>
      <c r="P12" s="866"/>
    </row>
    <row r="13" spans="1:22" ht="15.75" thickBot="1">
      <c r="C13" s="705" t="s">
        <v>274</v>
      </c>
      <c r="D13" s="718">
        <f>(1-D12/'Solid fuels_DeSO2 '!D239)*100</f>
        <v>99.776871835769469</v>
      </c>
      <c r="E13" s="714" t="s">
        <v>87</v>
      </c>
      <c r="K13" s="868"/>
      <c r="N13" s="1050" t="s">
        <v>732</v>
      </c>
      <c r="O13" s="1052"/>
      <c r="P13" s="866" t="s">
        <v>744</v>
      </c>
    </row>
    <row r="14" spans="1:22" ht="15.75" thickBot="1">
      <c r="C14" s="869" t="s">
        <v>1035</v>
      </c>
      <c r="D14" s="870">
        <f>+'Solid fuels_DeSO2 '!D239</f>
        <v>4481.7291597794238</v>
      </c>
      <c r="E14" s="786" t="s">
        <v>994</v>
      </c>
      <c r="J14" s="871">
        <f>+D14-D12</f>
        <v>4471.7291597794238</v>
      </c>
      <c r="N14" s="872" t="s">
        <v>709</v>
      </c>
      <c r="O14" s="873" t="s">
        <v>710</v>
      </c>
      <c r="P14" s="866"/>
    </row>
    <row r="15" spans="1:22" ht="15.75" thickBot="1">
      <c r="J15" s="702">
        <f>J14/D14</f>
        <v>0.99776871835769476</v>
      </c>
      <c r="N15" s="874">
        <v>0</v>
      </c>
      <c r="O15" s="875">
        <v>2</v>
      </c>
    </row>
    <row r="16" spans="1:22">
      <c r="C16" s="1050" t="s">
        <v>688</v>
      </c>
      <c r="D16" s="1051"/>
      <c r="E16" s="1052"/>
      <c r="N16" s="876">
        <v>370</v>
      </c>
      <c r="O16" s="875">
        <v>1.5</v>
      </c>
    </row>
    <row r="17" spans="1:22">
      <c r="C17" s="611" t="s">
        <v>687</v>
      </c>
      <c r="D17" s="877">
        <f>0.008</f>
        <v>8.0000000000000002E-3</v>
      </c>
      <c r="E17" s="858" t="s">
        <v>464</v>
      </c>
      <c r="N17" s="876">
        <v>1115</v>
      </c>
      <c r="O17" s="875">
        <v>1.25</v>
      </c>
    </row>
    <row r="18" spans="1:22">
      <c r="C18" s="611" t="s">
        <v>1085</v>
      </c>
      <c r="D18" s="878">
        <f>'Solid fuels_DeSO2 '!M60/'Solid fuels_DeSO2 '!M54*'Solid fuels - emission calc.'!D20</f>
        <v>414.06720716502139</v>
      </c>
      <c r="E18" s="772" t="s">
        <v>1086</v>
      </c>
      <c r="N18" s="876">
        <v>2230</v>
      </c>
      <c r="O18" s="875">
        <v>1.17</v>
      </c>
    </row>
    <row r="19" spans="1:22" ht="18">
      <c r="C19" s="611" t="s">
        <v>1245</v>
      </c>
      <c r="D19" s="704">
        <f>INT(D18/D17)+1</f>
        <v>51759</v>
      </c>
      <c r="E19" s="879" t="s">
        <v>428</v>
      </c>
      <c r="N19" s="876">
        <v>3350</v>
      </c>
      <c r="O19" s="875">
        <v>1.125</v>
      </c>
    </row>
    <row r="20" spans="1:22" ht="18.75" thickBot="1">
      <c r="C20" s="880" t="s">
        <v>1246</v>
      </c>
      <c r="D20" s="881">
        <f>INT(D19*INDEX(O15:O27,MATCH(D19,N15:N27)))+1</f>
        <v>53830</v>
      </c>
      <c r="E20" s="882" t="str">
        <f>E19</f>
        <v>m2</v>
      </c>
      <c r="N20" s="876">
        <v>4460</v>
      </c>
      <c r="O20" s="875">
        <v>1.1100000000000001</v>
      </c>
    </row>
    <row r="21" spans="1:22">
      <c r="N21" s="876">
        <v>5580</v>
      </c>
      <c r="O21" s="875">
        <v>1.1000000000000001</v>
      </c>
    </row>
    <row r="22" spans="1:22">
      <c r="N22" s="876">
        <v>6690</v>
      </c>
      <c r="O22" s="875">
        <v>1.0900000000000001</v>
      </c>
    </row>
    <row r="23" spans="1:22">
      <c r="G23" s="883"/>
      <c r="N23" s="876">
        <v>7810</v>
      </c>
      <c r="O23" s="875">
        <v>1.08</v>
      </c>
    </row>
    <row r="24" spans="1:22">
      <c r="N24" s="876">
        <v>8920</v>
      </c>
      <c r="O24" s="875">
        <v>1.07</v>
      </c>
    </row>
    <row r="25" spans="1:22">
      <c r="N25" s="876">
        <v>10040</v>
      </c>
      <c r="O25" s="875">
        <v>1.06</v>
      </c>
    </row>
    <row r="26" spans="1:22">
      <c r="C26" s="884">
        <f>1.395*10000000000*50/0.65</f>
        <v>1073076923076.9231</v>
      </c>
      <c r="D26" s="885"/>
      <c r="E26" s="883"/>
      <c r="N26" s="876">
        <v>12270</v>
      </c>
      <c r="O26" s="875">
        <v>1.05</v>
      </c>
    </row>
    <row r="27" spans="1:22" ht="15.75" thickBot="1">
      <c r="C27" s="886">
        <f>+C26*2764</f>
        <v>2965984615384615.5</v>
      </c>
      <c r="D27" s="885"/>
      <c r="E27" s="883"/>
      <c r="N27" s="887">
        <v>16730</v>
      </c>
      <c r="O27" s="888">
        <v>1.04</v>
      </c>
    </row>
    <row r="28" spans="1:22">
      <c r="C28" s="886"/>
      <c r="D28" s="889"/>
      <c r="E28" s="883"/>
    </row>
    <row r="29" spans="1:22" ht="27.75">
      <c r="A29" s="708"/>
      <c r="B29" s="708"/>
      <c r="C29" s="709" t="s">
        <v>480</v>
      </c>
      <c r="D29" s="710"/>
      <c r="E29" s="710"/>
      <c r="F29" s="710"/>
      <c r="G29" s="710"/>
      <c r="H29" s="710"/>
      <c r="I29" s="710"/>
      <c r="J29" s="710"/>
      <c r="K29" s="710"/>
      <c r="L29" s="710"/>
      <c r="M29" s="710"/>
      <c r="N29" s="709" t="s">
        <v>693</v>
      </c>
      <c r="O29" s="710"/>
      <c r="P29" s="710"/>
      <c r="Q29" s="710"/>
      <c r="R29" s="708"/>
      <c r="S29" s="711"/>
      <c r="T29" s="708"/>
      <c r="U29" s="708"/>
      <c r="V29" s="708"/>
    </row>
    <row r="30" spans="1:22" ht="15.75" thickBot="1"/>
    <row r="31" spans="1:22" ht="15.75" thickBot="1">
      <c r="N31" s="1050" t="s">
        <v>729</v>
      </c>
      <c r="O31" s="1052"/>
    </row>
    <row r="32" spans="1:22" ht="22.5" customHeight="1" thickBot="1">
      <c r="C32" s="1050" t="s">
        <v>683</v>
      </c>
      <c r="D32" s="1051"/>
      <c r="E32" s="1052"/>
      <c r="N32" s="890" t="s">
        <v>721</v>
      </c>
      <c r="O32" s="891" t="s">
        <v>724</v>
      </c>
      <c r="P32" s="866" t="s">
        <v>742</v>
      </c>
    </row>
    <row r="33" spans="3:20" ht="15.75" thickBot="1">
      <c r="C33" s="892" t="str">
        <f>C20</f>
        <v>Gross cloth area [AGC]</v>
      </c>
      <c r="D33" s="893">
        <f>D20</f>
        <v>53830</v>
      </c>
      <c r="E33" s="894" t="s">
        <v>428</v>
      </c>
      <c r="N33" s="895" t="s">
        <v>722</v>
      </c>
      <c r="O33" s="896" t="s">
        <v>723</v>
      </c>
      <c r="P33" s="866" t="s">
        <v>740</v>
      </c>
    </row>
    <row r="34" spans="3:20" ht="15.75" thickBot="1">
      <c r="C34" s="611" t="s">
        <v>943</v>
      </c>
      <c r="D34" s="897">
        <v>8</v>
      </c>
      <c r="E34" s="858"/>
    </row>
    <row r="35" spans="3:20" ht="18">
      <c r="C35" s="611" t="s">
        <v>1247</v>
      </c>
      <c r="D35" s="704">
        <f>D33/D34</f>
        <v>6728.75</v>
      </c>
      <c r="E35" s="858" t="str">
        <f>E33</f>
        <v>m2</v>
      </c>
      <c r="N35" s="1050" t="s">
        <v>1248</v>
      </c>
      <c r="O35" s="1051"/>
      <c r="P35" s="1051"/>
      <c r="Q35" s="1052"/>
      <c r="R35" s="866" t="s">
        <v>230</v>
      </c>
    </row>
    <row r="36" spans="3:20">
      <c r="C36" s="611" t="s">
        <v>691</v>
      </c>
      <c r="D36" s="897">
        <v>2</v>
      </c>
      <c r="E36" s="858"/>
      <c r="N36" s="898" t="s">
        <v>468</v>
      </c>
      <c r="O36" s="899" t="s">
        <v>469</v>
      </c>
      <c r="P36" s="899" t="s">
        <v>481</v>
      </c>
      <c r="Q36" s="900" t="s">
        <v>482</v>
      </c>
    </row>
    <row r="37" spans="3:20" ht="15.75" thickBot="1">
      <c r="C37" s="901" t="s">
        <v>711</v>
      </c>
      <c r="D37" s="902">
        <f>D33+D36*D35</f>
        <v>67287.5</v>
      </c>
      <c r="E37" s="903" t="s">
        <v>428</v>
      </c>
      <c r="N37" s="1206" t="s">
        <v>1164</v>
      </c>
      <c r="O37" s="899" t="s">
        <v>415</v>
      </c>
      <c r="P37" s="904">
        <v>55603.757385543904</v>
      </c>
      <c r="Q37" s="905">
        <v>123.51458852872963</v>
      </c>
      <c r="R37" s="1212" t="s">
        <v>1249</v>
      </c>
    </row>
    <row r="38" spans="3:20">
      <c r="N38" s="1206"/>
      <c r="O38" s="899" t="s">
        <v>470</v>
      </c>
      <c r="P38" s="904">
        <v>26789.434660881612</v>
      </c>
      <c r="Q38" s="905">
        <v>97.119794355154809</v>
      </c>
      <c r="R38" s="1212"/>
    </row>
    <row r="39" spans="3:20" ht="15.75" thickBot="1">
      <c r="N39" s="1206"/>
      <c r="O39" s="899" t="s">
        <v>471</v>
      </c>
      <c r="P39" s="904">
        <v>3087.6419163144305</v>
      </c>
      <c r="Q39" s="905">
        <v>36.05648115857673</v>
      </c>
      <c r="R39" s="1212"/>
    </row>
    <row r="40" spans="3:20" ht="22.5" customHeight="1" thickBot="1">
      <c r="C40" s="1050" t="s">
        <v>479</v>
      </c>
      <c r="D40" s="1051"/>
      <c r="E40" s="1052"/>
      <c r="N40" s="1206" t="s">
        <v>1165</v>
      </c>
      <c r="O40" s="899" t="s">
        <v>415</v>
      </c>
      <c r="P40" s="904">
        <v>422647.45294379309</v>
      </c>
      <c r="Q40" s="905">
        <v>89.669647522761863</v>
      </c>
    </row>
    <row r="41" spans="3:20" ht="18">
      <c r="C41" s="892" t="s">
        <v>1247</v>
      </c>
      <c r="D41" s="893">
        <f>D35</f>
        <v>6728.75</v>
      </c>
      <c r="E41" s="894" t="s">
        <v>428</v>
      </c>
      <c r="N41" s="1206"/>
      <c r="O41" s="899" t="s">
        <v>470</v>
      </c>
      <c r="P41" s="904">
        <v>143808.02727967617</v>
      </c>
      <c r="Q41" s="905">
        <v>33.994525434510329</v>
      </c>
      <c r="T41" s="702">
        <v>1</v>
      </c>
    </row>
    <row r="42" spans="3:20" ht="15.75" thickBot="1">
      <c r="C42" s="703" t="s">
        <v>1163</v>
      </c>
      <c r="D42" s="897" t="s">
        <v>1165</v>
      </c>
      <c r="F42" s="702" t="str">
        <f>IF(D42=N37,IF(D37&gt;2000,"Caution ! For Pre-assembled unit, Total cloth area should not exceed 2000 m²",""),"")</f>
        <v/>
      </c>
      <c r="N42" s="1207"/>
      <c r="O42" s="906" t="s">
        <v>471</v>
      </c>
      <c r="P42" s="907">
        <v>89878.935913898298</v>
      </c>
      <c r="Q42" s="908">
        <v>10.036985131264784</v>
      </c>
      <c r="T42" s="702">
        <v>2</v>
      </c>
    </row>
    <row r="43" spans="3:20">
      <c r="C43" s="703" t="s">
        <v>415</v>
      </c>
      <c r="D43" s="909" t="s">
        <v>278</v>
      </c>
      <c r="E43" s="879" t="s">
        <v>278</v>
      </c>
    </row>
    <row r="44" spans="3:20">
      <c r="C44" s="703" t="s">
        <v>472</v>
      </c>
      <c r="D44" s="897" t="s">
        <v>278</v>
      </c>
      <c r="E44" s="879" t="s">
        <v>85</v>
      </c>
    </row>
    <row r="45" spans="3:20">
      <c r="C45" s="703" t="s">
        <v>500</v>
      </c>
      <c r="D45" s="897" t="s">
        <v>278</v>
      </c>
      <c r="E45" s="879" t="s">
        <v>85</v>
      </c>
    </row>
    <row r="46" spans="3:20" ht="15.75" thickBot="1">
      <c r="C46" s="703" t="s">
        <v>473</v>
      </c>
      <c r="D46" s="704">
        <f>IF(D42=N40,P40,P37)</f>
        <v>422647.45294379309</v>
      </c>
      <c r="E46" s="879" t="s">
        <v>123</v>
      </c>
    </row>
    <row r="47" spans="3:20" ht="15.75" thickBot="1">
      <c r="C47" s="703" t="s">
        <v>474</v>
      </c>
      <c r="D47" s="704">
        <f>IF(D44="Y",IF(D42=N40,P41,P38),0)</f>
        <v>143808.02727967617</v>
      </c>
      <c r="E47" s="879" t="s">
        <v>123</v>
      </c>
      <c r="N47" s="1114" t="s">
        <v>730</v>
      </c>
      <c r="O47" s="1116"/>
    </row>
    <row r="48" spans="3:20">
      <c r="C48" s="703" t="s">
        <v>475</v>
      </c>
      <c r="D48" s="704">
        <f>IF(D45="Y",IF(D42=N40,P42,P39),0)</f>
        <v>89878.935913898298</v>
      </c>
      <c r="E48" s="879" t="s">
        <v>123</v>
      </c>
      <c r="N48" s="898" t="s">
        <v>483</v>
      </c>
      <c r="O48" s="875">
        <v>1</v>
      </c>
    </row>
    <row r="49" spans="3:20">
      <c r="C49" s="703" t="s">
        <v>476</v>
      </c>
      <c r="D49" s="704">
        <f>IF($D$42=$N$40,Q40,Q37)</f>
        <v>89.669647522761863</v>
      </c>
      <c r="E49" s="879" t="s">
        <v>454</v>
      </c>
      <c r="N49" s="898" t="s">
        <v>484</v>
      </c>
      <c r="O49" s="910">
        <v>1.125</v>
      </c>
      <c r="P49" s="866" t="s">
        <v>510</v>
      </c>
      <c r="R49" s="911"/>
      <c r="S49" s="911"/>
    </row>
    <row r="50" spans="3:20">
      <c r="C50" s="703" t="s">
        <v>477</v>
      </c>
      <c r="D50" s="704">
        <f>IF(D44="Y",IF($D$42=$N$40,Q41,Q38),0)</f>
        <v>33.994525434510329</v>
      </c>
      <c r="E50" s="879" t="s">
        <v>454</v>
      </c>
      <c r="N50" s="898" t="s">
        <v>485</v>
      </c>
      <c r="O50" s="910">
        <v>1.2</v>
      </c>
      <c r="P50" s="866" t="s">
        <v>511</v>
      </c>
      <c r="R50" s="911"/>
      <c r="S50" s="911"/>
    </row>
    <row r="51" spans="3:20">
      <c r="C51" s="703" t="s">
        <v>478</v>
      </c>
      <c r="D51" s="704">
        <f>IF(D45="Y",IF($D$42=$N$40,Q42,Q39),0)</f>
        <v>10.036985131264784</v>
      </c>
      <c r="E51" s="879" t="s">
        <v>454</v>
      </c>
      <c r="N51" s="898" t="s">
        <v>486</v>
      </c>
      <c r="O51" s="910">
        <v>2.5</v>
      </c>
      <c r="P51" s="866" t="s">
        <v>510</v>
      </c>
      <c r="R51" s="911"/>
      <c r="S51" s="911"/>
    </row>
    <row r="52" spans="3:20" ht="15.75" thickBot="1">
      <c r="C52" s="912" t="s">
        <v>479</v>
      </c>
      <c r="D52" s="881">
        <f>(SUM(D46:D48)+SUM(D49:D51)*D41)*(D34+D36)</f>
        <v>15559760.836256107</v>
      </c>
      <c r="E52" s="882" t="s">
        <v>123</v>
      </c>
      <c r="N52" s="898" t="s">
        <v>487</v>
      </c>
      <c r="O52" s="910">
        <v>5</v>
      </c>
      <c r="P52" s="866" t="s">
        <v>510</v>
      </c>
    </row>
    <row r="53" spans="3:20">
      <c r="N53" s="898" t="s">
        <v>488</v>
      </c>
      <c r="O53" s="910">
        <v>6.25</v>
      </c>
      <c r="P53" s="866" t="s">
        <v>510</v>
      </c>
    </row>
    <row r="54" spans="3:20" ht="15.75" thickBot="1">
      <c r="N54" s="898" t="s">
        <v>489</v>
      </c>
      <c r="O54" s="910">
        <v>7.5</v>
      </c>
      <c r="P54" s="866" t="s">
        <v>510</v>
      </c>
    </row>
    <row r="55" spans="3:20" ht="15.75" thickBot="1">
      <c r="C55" s="1050" t="s">
        <v>492</v>
      </c>
      <c r="D55" s="1051"/>
      <c r="E55" s="1052"/>
      <c r="N55" s="913" t="s">
        <v>490</v>
      </c>
      <c r="O55" s="914">
        <v>9.4</v>
      </c>
      <c r="P55" s="866" t="s">
        <v>512</v>
      </c>
    </row>
    <row r="56" spans="3:20">
      <c r="C56" s="611" t="s">
        <v>491</v>
      </c>
      <c r="D56" s="897" t="s">
        <v>488</v>
      </c>
      <c r="E56" s="879"/>
    </row>
    <row r="57" spans="3:20" ht="15.75" customHeight="1" thickBot="1">
      <c r="C57" s="915" t="s">
        <v>497</v>
      </c>
      <c r="D57" s="897">
        <v>9</v>
      </c>
      <c r="E57" s="858" t="s">
        <v>454</v>
      </c>
    </row>
    <row r="58" spans="3:20" ht="18.75">
      <c r="C58" s="611" t="s">
        <v>1250</v>
      </c>
      <c r="D58" s="878">
        <f>D57*VLOOKUP(D56,$N$48:$O$55,2,FALSE)</f>
        <v>56.25</v>
      </c>
      <c r="E58" s="879" t="s">
        <v>454</v>
      </c>
      <c r="N58" s="1208" t="s">
        <v>734</v>
      </c>
      <c r="O58" s="1209"/>
    </row>
    <row r="59" spans="3:20" ht="19.5" thickBot="1">
      <c r="C59" s="880" t="s">
        <v>1251</v>
      </c>
      <c r="D59" s="881">
        <f>D58*D37</f>
        <v>3784921.875</v>
      </c>
      <c r="E59" s="882" t="s">
        <v>123</v>
      </c>
      <c r="N59" s="916" t="s">
        <v>716</v>
      </c>
      <c r="O59" s="917" t="s">
        <v>705</v>
      </c>
    </row>
    <row r="60" spans="3:20" ht="15.75" customHeight="1" thickBot="1">
      <c r="N60" s="918" t="s">
        <v>715</v>
      </c>
      <c r="O60" s="919" t="s">
        <v>704</v>
      </c>
      <c r="P60" s="866" t="s">
        <v>741</v>
      </c>
    </row>
    <row r="61" spans="3:20">
      <c r="S61" s="920"/>
      <c r="T61" s="920"/>
    </row>
    <row r="62" spans="3:20" ht="15.75" thickBot="1">
      <c r="R62" s="920"/>
      <c r="S62" s="920"/>
      <c r="T62" s="920"/>
    </row>
    <row r="63" spans="3:20" ht="15.75" customHeight="1" thickBot="1">
      <c r="C63" s="1050" t="s">
        <v>495</v>
      </c>
      <c r="D63" s="1051"/>
      <c r="E63" s="1052"/>
      <c r="N63" s="1208" t="s">
        <v>735</v>
      </c>
      <c r="O63" s="1209"/>
      <c r="R63" s="920"/>
      <c r="S63" s="920"/>
      <c r="T63" s="920"/>
    </row>
    <row r="64" spans="3:20" ht="15.75" customHeight="1">
      <c r="C64" s="611" t="s">
        <v>694</v>
      </c>
      <c r="D64" s="909">
        <v>8</v>
      </c>
      <c r="E64" s="879" t="s">
        <v>701</v>
      </c>
      <c r="N64" s="890" t="s">
        <v>696</v>
      </c>
      <c r="O64" s="891" t="s">
        <v>697</v>
      </c>
      <c r="P64" s="921" t="s">
        <v>738</v>
      </c>
    </row>
    <row r="65" spans="2:22" ht="15.75" thickBot="1">
      <c r="C65" s="915" t="s">
        <v>695</v>
      </c>
      <c r="D65" s="909">
        <v>150</v>
      </c>
      <c r="E65" s="858" t="s">
        <v>700</v>
      </c>
      <c r="N65" s="895" t="s">
        <v>698</v>
      </c>
      <c r="O65" s="896" t="s">
        <v>699</v>
      </c>
      <c r="P65" s="921" t="s">
        <v>739</v>
      </c>
    </row>
    <row r="66" spans="2:22">
      <c r="C66" s="611"/>
      <c r="D66" s="922"/>
      <c r="E66" s="879"/>
      <c r="P66" s="920"/>
    </row>
    <row r="67" spans="2:22" ht="15" customHeight="1">
      <c r="C67" s="611"/>
      <c r="D67" s="923"/>
      <c r="E67" s="879"/>
      <c r="O67" s="920"/>
      <c r="P67" s="920"/>
    </row>
    <row r="68" spans="2:22">
      <c r="C68" s="611"/>
      <c r="D68" s="923"/>
      <c r="E68" s="879"/>
    </row>
    <row r="69" spans="2:22">
      <c r="C69" s="611" t="s">
        <v>1097</v>
      </c>
      <c r="D69" s="924">
        <v>20</v>
      </c>
      <c r="E69" s="879" t="s">
        <v>1098</v>
      </c>
    </row>
    <row r="70" spans="2:22">
      <c r="C70" s="611"/>
      <c r="D70" s="922"/>
      <c r="E70" s="879"/>
    </row>
    <row r="71" spans="2:22" ht="15.75" thickBot="1">
      <c r="C71" s="880" t="s">
        <v>494</v>
      </c>
      <c r="D71" s="881">
        <f>+D69*D37</f>
        <v>1345750</v>
      </c>
      <c r="E71" s="882" t="s">
        <v>123</v>
      </c>
      <c r="O71" s="920"/>
      <c r="P71" s="920"/>
    </row>
    <row r="72" spans="2:22">
      <c r="O72" s="920"/>
      <c r="P72" s="920"/>
    </row>
    <row r="75" spans="2:22" ht="27.75">
      <c r="B75" s="710"/>
      <c r="C75" s="709" t="s">
        <v>184</v>
      </c>
      <c r="D75" s="710"/>
      <c r="E75" s="710"/>
      <c r="F75" s="710"/>
      <c r="G75" s="710"/>
      <c r="H75" s="710"/>
      <c r="I75" s="710"/>
      <c r="J75" s="710"/>
      <c r="K75" s="710"/>
      <c r="L75" s="710"/>
      <c r="M75" s="710"/>
      <c r="N75" s="709" t="s">
        <v>328</v>
      </c>
      <c r="O75" s="710"/>
      <c r="P75" s="710"/>
      <c r="Q75" s="710"/>
      <c r="R75" s="708"/>
      <c r="S75" s="708"/>
      <c r="T75" s="708"/>
      <c r="U75" s="708"/>
      <c r="V75" s="708"/>
    </row>
    <row r="77" spans="2:22" ht="15.75" thickBot="1"/>
    <row r="78" spans="2:22">
      <c r="C78" s="1050" t="s">
        <v>184</v>
      </c>
      <c r="D78" s="1210"/>
      <c r="E78" s="1211"/>
    </row>
    <row r="79" spans="2:22" ht="15.75" thickBot="1">
      <c r="C79" s="723" t="s">
        <v>1063</v>
      </c>
      <c r="D79" s="925">
        <f>D13/100*'Solid fuels_DeSO2 '!D237</f>
        <v>67031.443856736427</v>
      </c>
      <c r="E79" s="789" t="s">
        <v>115</v>
      </c>
    </row>
    <row r="80" spans="2:22" ht="15.75" thickBot="1">
      <c r="C80" s="723" t="s">
        <v>772</v>
      </c>
      <c r="D80" s="788">
        <f>(D52+D59+D71)*(1+SUM(O88:O89))</f>
        <v>23793997.617944524</v>
      </c>
      <c r="E80" s="789" t="s">
        <v>123</v>
      </c>
      <c r="N80" s="1195" t="s">
        <v>736</v>
      </c>
      <c r="O80" s="1196"/>
    </row>
    <row r="81" spans="3:16">
      <c r="C81" s="723" t="s">
        <v>773</v>
      </c>
      <c r="D81" s="788">
        <f>D80*SUM(O93:O98)</f>
        <v>17607558.237278946</v>
      </c>
      <c r="E81" s="789" t="s">
        <v>123</v>
      </c>
      <c r="N81" s="890" t="s">
        <v>457</v>
      </c>
      <c r="O81" s="926" t="s">
        <v>463</v>
      </c>
      <c r="P81" s="866" t="s">
        <v>742</v>
      </c>
    </row>
    <row r="82" spans="3:16">
      <c r="C82" s="723" t="s">
        <v>774</v>
      </c>
      <c r="D82" s="788">
        <f>D80*SUM(O102:O107)</f>
        <v>10707298.928075038</v>
      </c>
      <c r="E82" s="789" t="s">
        <v>123</v>
      </c>
      <c r="N82" s="927" t="s">
        <v>462</v>
      </c>
      <c r="O82" s="928" t="s">
        <v>461</v>
      </c>
      <c r="P82" s="866" t="s">
        <v>744</v>
      </c>
    </row>
    <row r="83" spans="3:16">
      <c r="C83" s="700" t="s">
        <v>1180</v>
      </c>
      <c r="D83" s="897" t="s">
        <v>95</v>
      </c>
      <c r="E83" s="879" t="s">
        <v>85</v>
      </c>
      <c r="N83" s="927" t="s">
        <v>684</v>
      </c>
      <c r="O83" s="929" t="s">
        <v>706</v>
      </c>
      <c r="P83" s="866" t="s">
        <v>740</v>
      </c>
    </row>
    <row r="84" spans="3:16" ht="15.75" thickBot="1">
      <c r="C84" s="723"/>
      <c r="D84" s="909"/>
      <c r="E84" s="879"/>
      <c r="N84" s="895" t="s">
        <v>686</v>
      </c>
      <c r="O84" s="896">
        <f>2/1000</f>
        <v>2E-3</v>
      </c>
      <c r="P84" s="930" t="s">
        <v>744</v>
      </c>
    </row>
    <row r="85" spans="3:16">
      <c r="C85" s="738"/>
      <c r="D85" s="931"/>
      <c r="E85" s="796"/>
      <c r="N85" s="932"/>
      <c r="O85" s="932"/>
      <c r="P85" s="930"/>
    </row>
    <row r="86" spans="3:16" ht="15.75" thickBot="1">
      <c r="C86" s="738" t="s">
        <v>125</v>
      </c>
      <c r="D86" s="933">
        <f>D82+D81+D80*IF(D83="N",1.4,1)</f>
        <v>61626453.830476314</v>
      </c>
      <c r="E86" s="796" t="s">
        <v>123</v>
      </c>
      <c r="P86" s="866"/>
    </row>
    <row r="87" spans="3:16">
      <c r="C87" s="723" t="s">
        <v>34</v>
      </c>
      <c r="D87" s="925">
        <f>D86*'Solid fuels - emission calc.'!$J$5</f>
        <v>5542751.0694740117</v>
      </c>
      <c r="E87" s="789" t="s">
        <v>126</v>
      </c>
      <c r="N87" s="1195" t="s">
        <v>788</v>
      </c>
      <c r="O87" s="1196"/>
      <c r="P87" s="866" t="s">
        <v>744</v>
      </c>
    </row>
    <row r="88" spans="3:16">
      <c r="C88" s="1197" t="s">
        <v>33</v>
      </c>
      <c r="D88" s="1198"/>
      <c r="E88" s="1199"/>
      <c r="N88" s="934" t="s">
        <v>776</v>
      </c>
      <c r="O88" s="858">
        <v>0.1</v>
      </c>
    </row>
    <row r="89" spans="3:16" ht="15.75" thickBot="1">
      <c r="C89" s="738" t="s">
        <v>30</v>
      </c>
      <c r="D89" s="935">
        <f>D86*'Solid fuels - emission calc.'!$G$4</f>
        <v>1232529.0766095263</v>
      </c>
      <c r="E89" s="796" t="s">
        <v>126</v>
      </c>
      <c r="N89" s="936" t="s">
        <v>777</v>
      </c>
      <c r="O89" s="862">
        <v>0.05</v>
      </c>
    </row>
    <row r="90" spans="3:16">
      <c r="C90" s="738" t="s">
        <v>986</v>
      </c>
      <c r="D90" s="935"/>
      <c r="E90" s="796"/>
      <c r="N90" s="937"/>
      <c r="O90" s="938"/>
    </row>
    <row r="91" spans="3:16" ht="15.75" thickBot="1">
      <c r="C91" s="830" t="s">
        <v>458</v>
      </c>
      <c r="D91" s="897">
        <v>50</v>
      </c>
      <c r="E91" s="939" t="s">
        <v>16</v>
      </c>
    </row>
    <row r="92" spans="3:16">
      <c r="C92" s="830" t="s">
        <v>460</v>
      </c>
      <c r="D92" s="940">
        <v>0.65</v>
      </c>
      <c r="E92" s="939" t="s">
        <v>87</v>
      </c>
      <c r="N92" s="1195" t="s">
        <v>775</v>
      </c>
      <c r="O92" s="1196"/>
    </row>
    <row r="93" spans="3:16">
      <c r="C93" s="830" t="s">
        <v>455</v>
      </c>
      <c r="D93" s="941">
        <f>'Solid fuels - emission calc.'!K35*D91/D92*D18*3600</f>
        <v>3.1693308556925799</v>
      </c>
      <c r="E93" s="804" t="s">
        <v>52</v>
      </c>
      <c r="N93" s="942" t="s">
        <v>504</v>
      </c>
      <c r="O93" s="858">
        <v>0.04</v>
      </c>
    </row>
    <row r="94" spans="3:16">
      <c r="C94" s="830" t="s">
        <v>686</v>
      </c>
      <c r="D94" s="943">
        <f>2/1000</f>
        <v>2E-3</v>
      </c>
      <c r="E94" s="879"/>
      <c r="N94" s="942" t="s">
        <v>505</v>
      </c>
      <c r="O94" s="858">
        <v>0.5</v>
      </c>
    </row>
    <row r="95" spans="3:16">
      <c r="C95" s="830" t="s">
        <v>1064</v>
      </c>
      <c r="D95" s="663">
        <f>0.000375*D18*D94*3600</f>
        <v>1.1179814593455579</v>
      </c>
      <c r="E95" s="944" t="str">
        <f>E93</f>
        <v>MWh/h</v>
      </c>
      <c r="N95" s="942" t="s">
        <v>506</v>
      </c>
      <c r="O95" s="858">
        <v>0.08</v>
      </c>
    </row>
    <row r="96" spans="3:16">
      <c r="C96" s="830" t="s">
        <v>1183</v>
      </c>
      <c r="D96" s="945">
        <v>20000</v>
      </c>
      <c r="E96" s="804" t="s">
        <v>717</v>
      </c>
      <c r="N96" s="942" t="s">
        <v>507</v>
      </c>
      <c r="O96" s="858">
        <v>0.01</v>
      </c>
    </row>
    <row r="97" spans="3:15">
      <c r="C97" s="738" t="s">
        <v>988</v>
      </c>
      <c r="D97" s="607">
        <f>IF(D84="Y",D79*D8,D79*D9)</f>
        <v>0</v>
      </c>
      <c r="E97" s="837" t="s">
        <v>126</v>
      </c>
      <c r="N97" s="942" t="s">
        <v>508</v>
      </c>
      <c r="O97" s="858">
        <v>7.0000000000000007E-2</v>
      </c>
    </row>
    <row r="98" spans="3:15" ht="15.75" thickBot="1">
      <c r="C98" s="829" t="s">
        <v>985</v>
      </c>
      <c r="D98" s="933">
        <f>(D$95+D$93)*'Solid fuels - emission calc.'!K$33*'Solid fuels - emission calc.'!G$33/100*8760</f>
        <v>2253411.3527840455</v>
      </c>
      <c r="E98" s="837" t="s">
        <v>126</v>
      </c>
      <c r="N98" s="946" t="s">
        <v>509</v>
      </c>
      <c r="O98" s="862">
        <v>0.04</v>
      </c>
    </row>
    <row r="99" spans="3:15" ht="18">
      <c r="C99" s="829" t="s">
        <v>1252</v>
      </c>
      <c r="D99" s="933">
        <f>(1+'Solid fuels - emission calc.'!J4)^(D96/(8760*'Solid fuels - emission calc.'!G33/100))*'Solid fuels - emission calc.'!J4/((1+'Solid fuels - emission calc.'!J4)^(D96/(8760*'Solid fuels - emission calc.'!G33/100))-1)*(D59+2.15*D37)</f>
        <v>1835123.1775374929</v>
      </c>
      <c r="E99" s="837" t="s">
        <v>126</v>
      </c>
    </row>
    <row r="100" spans="3:15" ht="15.75" thickBot="1">
      <c r="C100" s="915"/>
      <c r="D100" s="931"/>
      <c r="E100" s="858"/>
      <c r="F100" s="947"/>
    </row>
    <row r="101" spans="3:15">
      <c r="C101" s="948" t="s">
        <v>1095</v>
      </c>
      <c r="D101" s="933">
        <f>+D97+D98+D99</f>
        <v>4088534.5303215384</v>
      </c>
      <c r="E101" s="949" t="s">
        <v>126</v>
      </c>
      <c r="N101" s="1195" t="s">
        <v>778</v>
      </c>
      <c r="O101" s="1196"/>
    </row>
    <row r="102" spans="3:15" ht="15.75" thickBot="1">
      <c r="C102" s="950"/>
      <c r="D102" s="951"/>
      <c r="E102" s="952"/>
      <c r="N102" s="942" t="s">
        <v>779</v>
      </c>
      <c r="O102" s="858">
        <v>0.1</v>
      </c>
    </row>
    <row r="103" spans="3:15">
      <c r="C103" s="1167" t="s">
        <v>1089</v>
      </c>
      <c r="D103" s="1168"/>
      <c r="E103" s="1169"/>
      <c r="N103" s="942" t="s">
        <v>780</v>
      </c>
      <c r="O103" s="858">
        <v>0.2</v>
      </c>
    </row>
    <row r="104" spans="3:15">
      <c r="C104" s="813" t="s">
        <v>1099</v>
      </c>
      <c r="D104" s="814">
        <f>+D79</f>
        <v>67031.443856736427</v>
      </c>
      <c r="E104" s="815" t="s">
        <v>1106</v>
      </c>
      <c r="N104" s="942" t="s">
        <v>781</v>
      </c>
      <c r="O104" s="858">
        <v>0.1</v>
      </c>
    </row>
    <row r="105" spans="3:15">
      <c r="C105" s="813" t="s">
        <v>1100</v>
      </c>
      <c r="D105" s="814">
        <f>+D14</f>
        <v>4481.7291597794238</v>
      </c>
      <c r="E105" s="838" t="s">
        <v>1107</v>
      </c>
      <c r="N105" s="934" t="s">
        <v>782</v>
      </c>
      <c r="O105" s="879">
        <v>0.01</v>
      </c>
    </row>
    <row r="106" spans="3:15">
      <c r="C106" s="813" t="s">
        <v>1103</v>
      </c>
      <c r="D106" s="814">
        <f>+D12</f>
        <v>10</v>
      </c>
      <c r="E106" s="838" t="s">
        <v>1108</v>
      </c>
      <c r="N106" s="934" t="s">
        <v>783</v>
      </c>
      <c r="O106" s="879">
        <v>0.01</v>
      </c>
    </row>
    <row r="107" spans="3:15" ht="15.75" thickBot="1">
      <c r="C107" s="813" t="s">
        <v>1039</v>
      </c>
      <c r="D107" s="841">
        <f>+D13</f>
        <v>99.776871835769469</v>
      </c>
      <c r="E107" s="815" t="s">
        <v>87</v>
      </c>
      <c r="N107" s="936" t="s">
        <v>784</v>
      </c>
      <c r="O107" s="882">
        <v>0.03</v>
      </c>
    </row>
    <row r="108" spans="3:15">
      <c r="C108" s="813" t="s">
        <v>906</v>
      </c>
      <c r="D108" s="814">
        <f>+D86</f>
        <v>61626453.830476314</v>
      </c>
      <c r="E108" s="815" t="s">
        <v>123</v>
      </c>
      <c r="N108" s="937"/>
      <c r="O108" s="883"/>
    </row>
    <row r="109" spans="3:15">
      <c r="C109" s="813" t="s">
        <v>879</v>
      </c>
      <c r="D109" s="814">
        <f>+D87+D101+D89</f>
        <v>10863814.676405076</v>
      </c>
      <c r="E109" s="815" t="s">
        <v>877</v>
      </c>
      <c r="N109" s="937"/>
      <c r="O109" s="883"/>
    </row>
    <row r="110" spans="3:15">
      <c r="C110" s="813" t="s">
        <v>1104</v>
      </c>
      <c r="D110" s="814">
        <f>+D109/D104</f>
        <v>162.07042622599425</v>
      </c>
      <c r="E110" s="815" t="s">
        <v>1105</v>
      </c>
      <c r="N110" s="937"/>
      <c r="O110" s="883"/>
    </row>
    <row r="111" spans="3:15">
      <c r="C111" s="813" t="s">
        <v>908</v>
      </c>
      <c r="D111" s="814">
        <f>+D108/('Solid fuels - emission calc.'!D$20*1000)</f>
        <v>49.301163064381051</v>
      </c>
      <c r="E111" s="815" t="s">
        <v>303</v>
      </c>
      <c r="N111" s="937"/>
      <c r="O111" s="883"/>
    </row>
    <row r="112" spans="3:15">
      <c r="C112" s="813" t="s">
        <v>813</v>
      </c>
      <c r="D112" s="841">
        <f>(D93+D95)/('Solid fuels - emission calc.'!D$20*'Solid fuels - emission calc.'!D$21/100)*100</f>
        <v>0.85746246300762752</v>
      </c>
      <c r="E112" s="815" t="s">
        <v>87</v>
      </c>
      <c r="N112" s="937"/>
      <c r="O112" s="883"/>
    </row>
    <row r="113" spans="1:22">
      <c r="C113" s="794" t="s">
        <v>815</v>
      </c>
      <c r="D113" s="843">
        <f>IF(D109&gt;0,D87/D109,"n/a")</f>
        <v>0.51020302118299321</v>
      </c>
      <c r="E113" s="844"/>
      <c r="N113" s="937"/>
      <c r="O113" s="883"/>
    </row>
    <row r="114" spans="1:22" ht="15.75" thickBot="1">
      <c r="C114" s="798" t="s">
        <v>816</v>
      </c>
      <c r="D114" s="845">
        <f>IF(D109&gt;0,(D101+D89)/D109,"n/a")</f>
        <v>0.48979697881700679</v>
      </c>
      <c r="E114" s="846"/>
      <c r="N114" s="937"/>
      <c r="O114" s="883"/>
    </row>
    <row r="115" spans="1:22">
      <c r="N115" s="937"/>
      <c r="O115" s="883"/>
    </row>
    <row r="116" spans="1:22">
      <c r="N116" s="937"/>
      <c r="O116" s="883"/>
    </row>
    <row r="117" spans="1:22">
      <c r="N117" s="937"/>
      <c r="O117" s="883"/>
    </row>
    <row r="118" spans="1:22">
      <c r="N118" s="937"/>
      <c r="O118" s="883"/>
    </row>
    <row r="119" spans="1:22">
      <c r="N119" s="937"/>
      <c r="O119" s="883"/>
    </row>
    <row r="122" spans="1:22" ht="27.75">
      <c r="A122" s="708"/>
      <c r="B122" s="710"/>
      <c r="C122" s="709" t="s">
        <v>333</v>
      </c>
      <c r="D122" s="710"/>
      <c r="E122" s="710"/>
      <c r="F122" s="710"/>
      <c r="G122" s="710"/>
      <c r="H122" s="710"/>
      <c r="I122" s="710"/>
      <c r="J122" s="710"/>
      <c r="K122" s="710"/>
      <c r="L122" s="710"/>
      <c r="M122" s="710"/>
      <c r="N122" s="709"/>
      <c r="O122" s="710"/>
      <c r="P122" s="710"/>
      <c r="Q122" s="710"/>
      <c r="R122" s="708"/>
      <c r="S122" s="708"/>
      <c r="T122" s="708"/>
      <c r="U122" s="708"/>
      <c r="V122" s="708"/>
    </row>
    <row r="126" spans="1:22">
      <c r="C126" s="702" t="s">
        <v>186</v>
      </c>
      <c r="D126" s="702" t="s">
        <v>745</v>
      </c>
    </row>
    <row r="127" spans="1:22">
      <c r="C127" s="702" t="s">
        <v>205</v>
      </c>
      <c r="D127" s="953">
        <f>'Solid fuels - emission calc.'!D21/100</f>
        <v>0.4</v>
      </c>
      <c r="E127" s="702" t="s">
        <v>206</v>
      </c>
    </row>
    <row r="128" spans="1:22" ht="15.75" thickBot="1">
      <c r="E128" s="954"/>
      <c r="H128" s="955"/>
    </row>
    <row r="129" spans="3:11">
      <c r="C129" s="1200" t="s">
        <v>759</v>
      </c>
      <c r="D129" s="1202" t="s">
        <v>214</v>
      </c>
      <c r="E129" s="1204" t="s">
        <v>760</v>
      </c>
      <c r="F129" s="1204"/>
      <c r="G129" s="1204"/>
      <c r="H129" s="1204"/>
      <c r="I129" s="1204"/>
      <c r="J129" s="1204" t="s">
        <v>757</v>
      </c>
      <c r="K129" s="1205"/>
    </row>
    <row r="130" spans="3:11" ht="15.75" thickBot="1">
      <c r="C130" s="1201"/>
      <c r="D130" s="1203"/>
      <c r="E130" s="956" t="s">
        <v>143</v>
      </c>
      <c r="F130" s="956" t="s">
        <v>144</v>
      </c>
      <c r="G130" s="956" t="s">
        <v>199</v>
      </c>
      <c r="H130" s="956"/>
      <c r="I130" s="956" t="s">
        <v>755</v>
      </c>
      <c r="J130" s="957" t="s">
        <v>143</v>
      </c>
      <c r="K130" s="958" t="s">
        <v>144</v>
      </c>
    </row>
    <row r="131" spans="3:11">
      <c r="C131" s="959" t="s">
        <v>746</v>
      </c>
      <c r="D131" s="960">
        <v>2005</v>
      </c>
      <c r="E131" s="961">
        <v>23.8</v>
      </c>
      <c r="F131" s="961">
        <v>23.8</v>
      </c>
      <c r="G131" s="960" t="s">
        <v>752</v>
      </c>
      <c r="H131" s="962" t="s">
        <v>754</v>
      </c>
      <c r="I131" s="960" t="s">
        <v>756</v>
      </c>
      <c r="J131" s="961">
        <f>E131/0.684*550.8/468.2*0.4</f>
        <v>16.373569549675128</v>
      </c>
      <c r="K131" s="963">
        <f>F131/0.684*550.8/468.2*0.4</f>
        <v>16.373569549675128</v>
      </c>
    </row>
    <row r="132" spans="3:11">
      <c r="C132" s="964" t="s">
        <v>747</v>
      </c>
      <c r="D132" s="932">
        <v>2005</v>
      </c>
      <c r="E132" s="965">
        <v>28</v>
      </c>
      <c r="F132" s="965">
        <v>28</v>
      </c>
      <c r="G132" s="932" t="s">
        <v>752</v>
      </c>
      <c r="H132" s="938" t="s">
        <v>754</v>
      </c>
      <c r="I132" s="932" t="s">
        <v>756</v>
      </c>
      <c r="J132" s="965">
        <f>E132/0.684*550.8/468.2*0.4</f>
        <v>19.2630229996178</v>
      </c>
      <c r="K132" s="966">
        <f>F132/0.684*550.8/468.2*0.4</f>
        <v>19.2630229996178</v>
      </c>
    </row>
    <row r="133" spans="3:11">
      <c r="C133" s="964" t="s">
        <v>764</v>
      </c>
      <c r="D133" s="932">
        <v>2006</v>
      </c>
      <c r="E133" s="965">
        <v>53</v>
      </c>
      <c r="F133" s="965">
        <v>80</v>
      </c>
      <c r="G133" s="932" t="s">
        <v>753</v>
      </c>
      <c r="H133" s="938" t="s">
        <v>754</v>
      </c>
      <c r="I133" s="932" t="s">
        <v>756</v>
      </c>
      <c r="J133" s="965">
        <f t="shared" ref="J133:K135" si="0">E133/1.256*550.8/499.6*0.4</f>
        <v>18.608772368213042</v>
      </c>
      <c r="K133" s="966">
        <f t="shared" si="0"/>
        <v>28.088713008623458</v>
      </c>
    </row>
    <row r="134" spans="3:11">
      <c r="C134" s="964" t="s">
        <v>748</v>
      </c>
      <c r="D134" s="932">
        <v>2006</v>
      </c>
      <c r="E134" s="965">
        <v>60.5</v>
      </c>
      <c r="F134" s="965">
        <v>60.5</v>
      </c>
      <c r="G134" s="967" t="s">
        <v>753</v>
      </c>
      <c r="H134" s="938" t="s">
        <v>754</v>
      </c>
      <c r="I134" s="967" t="s">
        <v>756</v>
      </c>
      <c r="J134" s="965">
        <f t="shared" si="0"/>
        <v>21.242089212771489</v>
      </c>
      <c r="K134" s="966">
        <f t="shared" si="0"/>
        <v>21.242089212771489</v>
      </c>
    </row>
    <row r="135" spans="3:11">
      <c r="C135" s="964" t="s">
        <v>758</v>
      </c>
      <c r="D135" s="909">
        <v>2006</v>
      </c>
      <c r="E135" s="922">
        <v>60</v>
      </c>
      <c r="F135" s="922">
        <v>60</v>
      </c>
      <c r="G135" s="967" t="s">
        <v>753</v>
      </c>
      <c r="H135" s="938" t="s">
        <v>754</v>
      </c>
      <c r="I135" s="909" t="s">
        <v>756</v>
      </c>
      <c r="J135" s="965">
        <f t="shared" si="0"/>
        <v>21.066534756467593</v>
      </c>
      <c r="K135" s="966">
        <f t="shared" si="0"/>
        <v>21.066534756467593</v>
      </c>
    </row>
    <row r="136" spans="3:11">
      <c r="C136" s="964" t="s">
        <v>749</v>
      </c>
      <c r="D136" s="932">
        <v>2001</v>
      </c>
      <c r="E136" s="922">
        <v>36</v>
      </c>
      <c r="F136" s="932">
        <v>36</v>
      </c>
      <c r="G136" s="967" t="s">
        <v>753</v>
      </c>
      <c r="H136" s="938" t="s">
        <v>754</v>
      </c>
      <c r="I136" s="967" t="s">
        <v>756</v>
      </c>
      <c r="J136" s="965">
        <f>E136/0.896*550.8/394.6*0.4</f>
        <v>22.433205415972775</v>
      </c>
      <c r="K136" s="966">
        <f>F136/0.896*550.8/394.6*0.4</f>
        <v>22.433205415972775</v>
      </c>
    </row>
    <row r="137" spans="3:11">
      <c r="C137" s="964" t="s">
        <v>207</v>
      </c>
      <c r="D137" s="932">
        <v>1998</v>
      </c>
      <c r="E137" s="965">
        <v>50</v>
      </c>
      <c r="F137" s="965">
        <v>70</v>
      </c>
      <c r="G137" s="967" t="s">
        <v>753</v>
      </c>
      <c r="H137" s="938" t="s">
        <v>754</v>
      </c>
      <c r="I137" s="967" t="s">
        <v>756</v>
      </c>
      <c r="J137" s="965">
        <f>E137/1.121*550.8/389.5*0.4</f>
        <v>25.229628323326754</v>
      </c>
      <c r="K137" s="966">
        <f>F137/1.121*550.8/389.5*0.4</f>
        <v>35.321479652657452</v>
      </c>
    </row>
    <row r="138" spans="3:11">
      <c r="C138" s="964" t="s">
        <v>511</v>
      </c>
      <c r="D138" s="932">
        <v>2008</v>
      </c>
      <c r="E138" s="965">
        <v>19.7</v>
      </c>
      <c r="F138" s="965">
        <v>21</v>
      </c>
      <c r="G138" s="967" t="s">
        <v>123</v>
      </c>
      <c r="H138" s="938" t="s">
        <v>754</v>
      </c>
      <c r="I138" s="967" t="s">
        <v>761</v>
      </c>
      <c r="J138" s="965">
        <f>E138*550.8/575.4</f>
        <v>18.857768508863398</v>
      </c>
      <c r="K138" s="966">
        <f>F138*550.8/575.4</f>
        <v>20.102189781021899</v>
      </c>
    </row>
    <row r="139" spans="3:11">
      <c r="C139" s="964" t="s">
        <v>750</v>
      </c>
      <c r="D139" s="932">
        <v>2007</v>
      </c>
      <c r="E139" s="965">
        <v>50</v>
      </c>
      <c r="F139" s="965">
        <v>50</v>
      </c>
      <c r="G139" s="967" t="s">
        <v>753</v>
      </c>
      <c r="H139" s="938" t="s">
        <v>754</v>
      </c>
      <c r="I139" s="967" t="s">
        <v>756</v>
      </c>
      <c r="J139" s="965">
        <f>E139/1.371*550.8/525.4</f>
        <v>38.232827088499413</v>
      </c>
      <c r="K139" s="966">
        <f>F139/1.371*550.8/525.4</f>
        <v>38.232827088499413</v>
      </c>
    </row>
    <row r="140" spans="3:11">
      <c r="C140" s="964" t="s">
        <v>1159</v>
      </c>
      <c r="D140" s="909">
        <v>2010</v>
      </c>
      <c r="E140" s="922">
        <f>52948000/812000</f>
        <v>65.206896551724142</v>
      </c>
      <c r="F140" s="922">
        <f>71095000/812000</f>
        <v>87.555418719211829</v>
      </c>
      <c r="G140" s="967" t="s">
        <v>753</v>
      </c>
      <c r="H140" s="938" t="s">
        <v>754</v>
      </c>
      <c r="I140" s="967" t="s">
        <v>756</v>
      </c>
      <c r="J140" s="965">
        <f>E140/1.392*0.4</f>
        <v>18.737613951644871</v>
      </c>
      <c r="K140" s="966">
        <f>F140/1.392*0.4</f>
        <v>25.159603080233286</v>
      </c>
    </row>
    <row r="141" spans="3:11">
      <c r="C141" s="964" t="s">
        <v>207</v>
      </c>
      <c r="D141" s="932">
        <v>2000</v>
      </c>
      <c r="E141" s="968">
        <v>4.8</v>
      </c>
      <c r="F141" s="968">
        <v>45</v>
      </c>
      <c r="G141" s="932" t="s">
        <v>753</v>
      </c>
      <c r="H141" s="938" t="s">
        <v>754</v>
      </c>
      <c r="I141" s="932" t="s">
        <v>761</v>
      </c>
      <c r="J141" s="965">
        <f>E141/0.924*550.8/394.1</f>
        <v>7.2603367198647568</v>
      </c>
      <c r="K141" s="966">
        <f>F141/0.924*550.8/394.1</f>
        <v>68.065656748732096</v>
      </c>
    </row>
    <row r="142" spans="3:11" ht="15.75" thickBot="1">
      <c r="C142" s="969" t="s">
        <v>751</v>
      </c>
      <c r="D142" s="970">
        <v>2001</v>
      </c>
      <c r="E142" s="971">
        <v>3.9</v>
      </c>
      <c r="F142" s="971">
        <v>16.5</v>
      </c>
      <c r="G142" s="970" t="s">
        <v>753</v>
      </c>
      <c r="H142" s="972" t="s">
        <v>754</v>
      </c>
      <c r="I142" s="970" t="s">
        <v>761</v>
      </c>
      <c r="J142" s="973">
        <f>E142/0.896*550.8/394.3</f>
        <v>6.08028241730372</v>
      </c>
      <c r="K142" s="974">
        <f>F142/0.896*550.8/394.3</f>
        <v>25.724271765515738</v>
      </c>
    </row>
    <row r="148" spans="3:3">
      <c r="C148" s="975"/>
    </row>
  </sheetData>
  <mergeCells count="28">
    <mergeCell ref="R37:R39"/>
    <mergeCell ref="N31:O31"/>
    <mergeCell ref="N4:O4"/>
    <mergeCell ref="N9:O9"/>
    <mergeCell ref="C11:E11"/>
    <mergeCell ref="N13:O13"/>
    <mergeCell ref="C16:E16"/>
    <mergeCell ref="N80:O80"/>
    <mergeCell ref="C32:E32"/>
    <mergeCell ref="N35:Q35"/>
    <mergeCell ref="N37:N39"/>
    <mergeCell ref="C40:E40"/>
    <mergeCell ref="N40:N42"/>
    <mergeCell ref="N47:O47"/>
    <mergeCell ref="C55:E55"/>
    <mergeCell ref="N58:O58"/>
    <mergeCell ref="C63:E63"/>
    <mergeCell ref="N63:O63"/>
    <mergeCell ref="C78:E78"/>
    <mergeCell ref="N87:O87"/>
    <mergeCell ref="C88:E88"/>
    <mergeCell ref="N92:O92"/>
    <mergeCell ref="N101:O101"/>
    <mergeCell ref="C129:C130"/>
    <mergeCell ref="D129:D130"/>
    <mergeCell ref="E129:I129"/>
    <mergeCell ref="J129:K129"/>
    <mergeCell ref="C103:E103"/>
  </mergeCells>
  <conditionalFormatting sqref="C78">
    <cfRule type="expression" dxfId="1" priority="1">
      <formula>Method_2</formula>
    </cfRule>
  </conditionalFormatting>
  <dataValidations count="3">
    <dataValidation type="list" allowBlank="1" showInputMessage="1" showErrorMessage="1" sqref="D56">
      <formula1>$N$48:$N$55</formula1>
    </dataValidation>
    <dataValidation type="list" allowBlank="1" showInputMessage="1" showErrorMessage="1" sqref="D44:D45 D83:D84">
      <formula1>"Y,N"</formula1>
    </dataValidation>
    <dataValidation type="list" allowBlank="1" showInputMessage="1" showErrorMessage="1" sqref="D42">
      <formula1>"Pre-assembled unit,Field assembled unit"</formula1>
    </dataValidation>
  </dataValidation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dimension ref="A2:W268"/>
  <sheetViews>
    <sheetView topLeftCell="A4" workbookViewId="0">
      <selection activeCell="D8" sqref="D8"/>
    </sheetView>
  </sheetViews>
  <sheetFormatPr baseColWidth="10" defaultRowHeight="14.25"/>
  <cols>
    <col min="1" max="2" width="11.42578125" style="712"/>
    <col min="3" max="3" width="49.140625" style="712" customWidth="1"/>
    <col min="4" max="4" width="21.42578125" style="712" customWidth="1"/>
    <col min="5" max="5" width="30.140625" style="712" customWidth="1"/>
    <col min="6" max="6" width="20.140625" style="712" customWidth="1"/>
    <col min="7" max="7" width="32.28515625" style="712" customWidth="1"/>
    <col min="8" max="8" width="4.28515625" style="712" customWidth="1"/>
    <col min="9" max="10" width="11.42578125" style="712"/>
    <col min="11" max="11" width="15" style="712" customWidth="1"/>
    <col min="12" max="12" width="44.28515625" style="712" customWidth="1"/>
    <col min="13" max="13" width="20.7109375" style="712" customWidth="1"/>
    <col min="14" max="14" width="36.42578125" style="712" customWidth="1"/>
    <col min="15" max="15" width="41.7109375" style="712" customWidth="1"/>
    <col min="16" max="16" width="19.28515625" style="712" customWidth="1"/>
    <col min="17" max="17" width="11.42578125" style="712"/>
    <col min="18" max="18" width="27" style="712" bestFit="1" customWidth="1"/>
    <col min="19" max="19" width="39" style="712" customWidth="1"/>
    <col min="20" max="20" width="32.42578125" style="712" customWidth="1"/>
    <col min="21" max="16384" width="11.42578125" style="712"/>
  </cols>
  <sheetData>
    <row r="2" spans="1:22" ht="27.75">
      <c r="A2" s="708"/>
      <c r="B2" s="708"/>
      <c r="C2" s="709" t="s">
        <v>770</v>
      </c>
      <c r="D2" s="710"/>
      <c r="E2" s="710"/>
      <c r="F2" s="710"/>
      <c r="G2" s="710"/>
      <c r="H2" s="710"/>
      <c r="I2" s="710"/>
      <c r="J2" s="710"/>
      <c r="K2" s="710"/>
      <c r="L2" s="710"/>
      <c r="M2" s="710"/>
      <c r="N2" s="709" t="str">
        <f>C2&amp;" - Reference Boxes"</f>
        <v>Details on SO2 abatement techniques  - Reference Boxes</v>
      </c>
      <c r="O2" s="710"/>
      <c r="P2" s="710"/>
      <c r="Q2" s="710"/>
      <c r="R2" s="708"/>
      <c r="S2" s="711"/>
      <c r="T2" s="708"/>
      <c r="U2" s="708"/>
      <c r="V2" s="708"/>
    </row>
    <row r="4" spans="1:22" ht="15" thickBot="1"/>
    <row r="5" spans="1:22" ht="15.75" thickBot="1">
      <c r="C5" s="1050" t="s">
        <v>1195</v>
      </c>
      <c r="D5" s="1051"/>
      <c r="E5" s="1052"/>
      <c r="G5" s="713"/>
    </row>
    <row r="6" spans="1:22" ht="15">
      <c r="C6" s="705" t="s">
        <v>1216</v>
      </c>
      <c r="D6" s="706">
        <v>200</v>
      </c>
      <c r="E6" s="714" t="s">
        <v>1057</v>
      </c>
      <c r="G6" s="715"/>
      <c r="K6" s="716"/>
      <c r="N6" s="1170" t="s">
        <v>817</v>
      </c>
      <c r="O6" s="1171"/>
      <c r="P6" s="717"/>
    </row>
    <row r="7" spans="1:22">
      <c r="C7" s="705" t="s">
        <v>274</v>
      </c>
      <c r="D7" s="976">
        <f>(D8-D6)/D8*100</f>
        <v>87.467145677687725</v>
      </c>
      <c r="E7" s="714" t="s">
        <v>87</v>
      </c>
      <c r="K7" s="716"/>
      <c r="N7" s="719"/>
      <c r="O7" s="720"/>
      <c r="P7" s="721"/>
    </row>
    <row r="8" spans="1:22" ht="15">
      <c r="C8" s="705" t="s">
        <v>993</v>
      </c>
      <c r="D8" s="977">
        <f>+'Liquid fuels - emission calc.'!D91</f>
        <v>1595.8056708912638</v>
      </c>
      <c r="E8" s="714" t="s">
        <v>1057</v>
      </c>
      <c r="K8" s="716"/>
      <c r="N8" s="723" t="s">
        <v>1223</v>
      </c>
      <c r="O8" s="724"/>
      <c r="P8" s="725"/>
    </row>
    <row r="9" spans="1:22" ht="15">
      <c r="C9" s="1189" t="s">
        <v>1207</v>
      </c>
      <c r="D9" s="1190"/>
      <c r="E9" s="1191"/>
      <c r="K9" s="716"/>
      <c r="N9" s="723" t="s">
        <v>818</v>
      </c>
      <c r="O9" s="724"/>
      <c r="P9" s="725"/>
      <c r="Q9" s="712" t="s">
        <v>819</v>
      </c>
    </row>
    <row r="10" spans="1:22">
      <c r="C10" s="705" t="s">
        <v>967</v>
      </c>
      <c r="D10" s="726">
        <v>96</v>
      </c>
      <c r="E10" s="714" t="s">
        <v>87</v>
      </c>
      <c r="F10" s="712" t="s">
        <v>820</v>
      </c>
      <c r="K10" s="716"/>
      <c r="N10" s="723" t="s">
        <v>821</v>
      </c>
      <c r="O10" s="724"/>
      <c r="P10" s="727"/>
    </row>
    <row r="11" spans="1:22">
      <c r="C11" s="705" t="s">
        <v>968</v>
      </c>
      <c r="D11" s="726">
        <v>40</v>
      </c>
      <c r="E11" s="727" t="s">
        <v>822</v>
      </c>
      <c r="K11" s="716"/>
      <c r="N11" s="723" t="s">
        <v>956</v>
      </c>
      <c r="O11" s="724"/>
      <c r="P11" s="727"/>
    </row>
    <row r="12" spans="1:22">
      <c r="C12" s="705" t="s">
        <v>823</v>
      </c>
      <c r="D12" s="726">
        <v>96</v>
      </c>
      <c r="E12" s="714" t="s">
        <v>87</v>
      </c>
      <c r="K12" s="716"/>
      <c r="N12" s="723"/>
      <c r="O12" s="724"/>
      <c r="P12" s="727"/>
    </row>
    <row r="13" spans="1:22">
      <c r="C13" s="705" t="s">
        <v>824</v>
      </c>
      <c r="D13" s="728">
        <v>80</v>
      </c>
      <c r="E13" s="727" t="s">
        <v>957</v>
      </c>
      <c r="K13" s="716"/>
      <c r="N13" s="723" t="s">
        <v>825</v>
      </c>
      <c r="O13" s="724"/>
      <c r="P13" s="727" t="s">
        <v>826</v>
      </c>
      <c r="Q13" s="712" t="s">
        <v>827</v>
      </c>
    </row>
    <row r="14" spans="1:22">
      <c r="C14" s="705" t="s">
        <v>969</v>
      </c>
      <c r="D14" s="726">
        <v>96</v>
      </c>
      <c r="E14" s="714" t="s">
        <v>87</v>
      </c>
      <c r="K14" s="716"/>
      <c r="N14" s="723" t="s">
        <v>829</v>
      </c>
      <c r="O14" s="724"/>
      <c r="P14" s="729"/>
    </row>
    <row r="15" spans="1:22" ht="15" thickBot="1">
      <c r="C15" s="705" t="s">
        <v>970</v>
      </c>
      <c r="D15" s="728">
        <v>80</v>
      </c>
      <c r="E15" s="727" t="s">
        <v>957</v>
      </c>
      <c r="F15" s="730"/>
      <c r="K15" s="716"/>
      <c r="N15" s="731" t="s">
        <v>975</v>
      </c>
      <c r="O15" s="732"/>
      <c r="P15" s="733"/>
    </row>
    <row r="16" spans="1:22">
      <c r="C16" s="734" t="s">
        <v>971</v>
      </c>
      <c r="D16" s="728" t="s">
        <v>95</v>
      </c>
      <c r="E16" s="727" t="s">
        <v>85</v>
      </c>
      <c r="K16" s="716"/>
    </row>
    <row r="17" spans="3:20">
      <c r="C17" s="734" t="s">
        <v>972</v>
      </c>
      <c r="D17" s="726">
        <v>96</v>
      </c>
      <c r="E17" s="714" t="s">
        <v>87</v>
      </c>
      <c r="K17" s="716"/>
    </row>
    <row r="18" spans="3:20" ht="15" thickBot="1">
      <c r="C18" s="734" t="s">
        <v>973</v>
      </c>
      <c r="D18" s="728">
        <v>80</v>
      </c>
      <c r="E18" s="727" t="s">
        <v>974</v>
      </c>
      <c r="K18" s="716"/>
    </row>
    <row r="19" spans="3:20" ht="15">
      <c r="C19" s="735" t="s">
        <v>828</v>
      </c>
      <c r="D19" s="722"/>
      <c r="E19" s="714"/>
      <c r="F19" s="736"/>
      <c r="K19" s="716"/>
      <c r="N19" s="1170" t="s">
        <v>835</v>
      </c>
      <c r="O19" s="1171"/>
      <c r="P19" s="1172"/>
      <c r="R19" s="1170" t="s">
        <v>836</v>
      </c>
      <c r="S19" s="1171"/>
      <c r="T19" s="1172"/>
    </row>
    <row r="20" spans="3:20" ht="15">
      <c r="C20" s="723" t="s">
        <v>830</v>
      </c>
      <c r="D20" s="737">
        <v>-0.15</v>
      </c>
      <c r="E20" s="727" t="s">
        <v>831</v>
      </c>
      <c r="F20" s="712" t="s">
        <v>832</v>
      </c>
      <c r="K20" s="716"/>
      <c r="N20" s="723" t="s">
        <v>1224</v>
      </c>
      <c r="O20" s="724"/>
      <c r="P20" s="725"/>
      <c r="R20" s="723" t="s">
        <v>976</v>
      </c>
      <c r="S20" s="724"/>
      <c r="T20" s="725"/>
    </row>
    <row r="21" spans="3:20">
      <c r="C21" s="723" t="s">
        <v>1030</v>
      </c>
      <c r="D21" s="737">
        <v>20</v>
      </c>
      <c r="E21" s="727" t="s">
        <v>831</v>
      </c>
      <c r="K21" s="716"/>
      <c r="N21" s="723" t="s">
        <v>837</v>
      </c>
      <c r="O21" s="724"/>
      <c r="P21" s="725"/>
      <c r="R21" s="723" t="s">
        <v>838</v>
      </c>
      <c r="S21" s="724"/>
      <c r="T21" s="725"/>
    </row>
    <row r="22" spans="3:20" ht="15">
      <c r="C22" s="738" t="s">
        <v>834</v>
      </c>
      <c r="D22" s="722"/>
      <c r="E22" s="714"/>
      <c r="K22" s="716"/>
      <c r="N22" s="723" t="s">
        <v>839</v>
      </c>
      <c r="O22" s="724"/>
      <c r="P22" s="727"/>
      <c r="R22" s="723" t="s">
        <v>840</v>
      </c>
      <c r="S22" s="724"/>
      <c r="T22" s="727"/>
    </row>
    <row r="23" spans="3:20">
      <c r="C23" s="723" t="s">
        <v>830</v>
      </c>
      <c r="D23" s="737">
        <v>0</v>
      </c>
      <c r="E23" s="727" t="s">
        <v>831</v>
      </c>
      <c r="K23" s="716"/>
      <c r="N23" s="723" t="s">
        <v>842</v>
      </c>
      <c r="O23" s="724"/>
      <c r="P23" s="727"/>
      <c r="R23" s="723" t="s">
        <v>843</v>
      </c>
      <c r="S23" s="724"/>
      <c r="T23" s="727"/>
    </row>
    <row r="24" spans="3:20">
      <c r="C24" s="723" t="s">
        <v>833</v>
      </c>
      <c r="D24" s="737">
        <v>20</v>
      </c>
      <c r="E24" s="727" t="s">
        <v>831</v>
      </c>
      <c r="K24" s="716"/>
      <c r="N24" s="723" t="s">
        <v>845</v>
      </c>
      <c r="O24" s="724"/>
      <c r="P24" s="727"/>
      <c r="R24" s="723" t="s">
        <v>846</v>
      </c>
      <c r="S24" s="724"/>
      <c r="T24" s="727"/>
    </row>
    <row r="25" spans="3:20" ht="15.75" thickBot="1">
      <c r="C25" s="738" t="s">
        <v>977</v>
      </c>
      <c r="D25" s="722"/>
      <c r="E25" s="714"/>
      <c r="K25" s="716"/>
      <c r="N25" s="731" t="s">
        <v>847</v>
      </c>
      <c r="O25" s="732"/>
      <c r="P25" s="733"/>
      <c r="R25" s="723" t="s">
        <v>1033</v>
      </c>
      <c r="S25" s="724"/>
      <c r="T25" s="727"/>
    </row>
    <row r="26" spans="3:20" ht="15">
      <c r="C26" s="738" t="s">
        <v>978</v>
      </c>
      <c r="D26" s="722"/>
      <c r="E26" s="725"/>
      <c r="K26" s="716"/>
      <c r="R26" s="723" t="s">
        <v>1031</v>
      </c>
      <c r="S26" s="724"/>
      <c r="T26" s="727"/>
    </row>
    <row r="27" spans="3:20">
      <c r="C27" s="723" t="s">
        <v>830</v>
      </c>
      <c r="D27" s="737">
        <v>0</v>
      </c>
      <c r="E27" s="727" t="s">
        <v>831</v>
      </c>
      <c r="K27" s="716"/>
      <c r="R27" s="723" t="s">
        <v>1034</v>
      </c>
      <c r="S27" s="724"/>
      <c r="T27" s="727"/>
    </row>
    <row r="28" spans="3:20" ht="15" thickBot="1">
      <c r="C28" s="723" t="s">
        <v>833</v>
      </c>
      <c r="D28" s="737">
        <v>40</v>
      </c>
      <c r="E28" s="727" t="s">
        <v>831</v>
      </c>
      <c r="K28" s="716"/>
      <c r="R28" s="731" t="s">
        <v>1032</v>
      </c>
      <c r="S28" s="732"/>
      <c r="T28" s="733"/>
    </row>
    <row r="29" spans="3:20">
      <c r="C29" s="719" t="s">
        <v>979</v>
      </c>
      <c r="D29" s="737"/>
      <c r="E29" s="727"/>
      <c r="K29" s="716"/>
    </row>
    <row r="30" spans="3:20">
      <c r="C30" s="719" t="s">
        <v>830</v>
      </c>
      <c r="D30" s="737"/>
      <c r="E30" s="727"/>
      <c r="K30" s="716"/>
    </row>
    <row r="31" spans="3:20">
      <c r="C31" s="719" t="s">
        <v>833</v>
      </c>
      <c r="D31" s="737"/>
      <c r="E31" s="727"/>
      <c r="K31" s="716"/>
    </row>
    <row r="32" spans="3:20">
      <c r="C32" s="723"/>
      <c r="D32" s="724"/>
      <c r="E32" s="727"/>
    </row>
    <row r="33" spans="3:23" ht="15">
      <c r="C33" s="1192" t="s">
        <v>771</v>
      </c>
      <c r="D33" s="1193"/>
      <c r="E33" s="1194"/>
    </row>
    <row r="34" spans="3:23" ht="15">
      <c r="C34" s="739" t="s">
        <v>112</v>
      </c>
      <c r="D34" s="740"/>
      <c r="E34" s="741"/>
    </row>
    <row r="35" spans="3:23">
      <c r="C35" s="700" t="s">
        <v>1073</v>
      </c>
      <c r="D35" s="742" t="s">
        <v>141</v>
      </c>
      <c r="E35" s="743" t="s">
        <v>63</v>
      </c>
      <c r="F35" s="712" t="s">
        <v>841</v>
      </c>
    </row>
    <row r="36" spans="3:23">
      <c r="C36" s="700" t="s">
        <v>1074</v>
      </c>
      <c r="D36" s="744">
        <v>0.5</v>
      </c>
      <c r="E36" s="745" t="s">
        <v>109</v>
      </c>
      <c r="F36" s="712" t="s">
        <v>844</v>
      </c>
    </row>
    <row r="37" spans="3:23">
      <c r="C37" s="700" t="s">
        <v>1044</v>
      </c>
      <c r="D37" s="746" t="str">
        <f>IF(D35="Y",M64,"not valid")</f>
        <v>not valid</v>
      </c>
      <c r="E37" s="714" t="s">
        <v>1057</v>
      </c>
    </row>
    <row r="38" spans="3:23">
      <c r="C38" s="700" t="s">
        <v>1043</v>
      </c>
      <c r="D38" s="747" t="str">
        <f>IF(D35="y",('Liquid fuels - emission calc.'!D91-M64)/('Liquid fuels - emission calc.'!D91-D6)*100,"n/a")</f>
        <v>n/a</v>
      </c>
      <c r="E38" s="743" t="s">
        <v>87</v>
      </c>
    </row>
    <row r="39" spans="3:23">
      <c r="C39" s="700" t="s">
        <v>848</v>
      </c>
      <c r="D39" s="978">
        <f>IF(D35="y",(M64-D6)/M64*100,D7)</f>
        <v>87.467145677687725</v>
      </c>
      <c r="E39" s="743" t="s">
        <v>87</v>
      </c>
    </row>
    <row r="40" spans="3:23" ht="15" thickBot="1">
      <c r="C40" s="700"/>
      <c r="D40" s="749"/>
      <c r="E40" s="743"/>
    </row>
    <row r="41" spans="3:23" ht="15">
      <c r="C41" s="723"/>
      <c r="D41" s="724"/>
      <c r="E41" s="727"/>
      <c r="N41" s="1181" t="s">
        <v>1075</v>
      </c>
      <c r="O41" s="1182"/>
      <c r="P41" s="717"/>
      <c r="R41" s="1181" t="s">
        <v>850</v>
      </c>
      <c r="S41" s="1182"/>
      <c r="T41" s="1183"/>
    </row>
    <row r="42" spans="3:23" ht="15">
      <c r="C42" s="1186" t="s">
        <v>116</v>
      </c>
      <c r="D42" s="1187"/>
      <c r="E42" s="1188"/>
      <c r="G42" s="749"/>
      <c r="N42" s="723"/>
      <c r="O42" s="724"/>
      <c r="P42" s="727"/>
      <c r="R42" s="723" t="s">
        <v>852</v>
      </c>
      <c r="S42" s="724" t="s">
        <v>853</v>
      </c>
      <c r="T42" s="741">
        <v>1500</v>
      </c>
      <c r="U42" s="712" t="s">
        <v>827</v>
      </c>
    </row>
    <row r="43" spans="3:23">
      <c r="C43" s="723" t="s">
        <v>854</v>
      </c>
      <c r="D43" s="979">
        <f>IF(D35="Y",M64,'Liquid fuels - emission calc.'!D91)</f>
        <v>1595.8056708912638</v>
      </c>
      <c r="E43" s="714" t="s">
        <v>1057</v>
      </c>
      <c r="F43" s="712" t="s">
        <v>855</v>
      </c>
      <c r="N43" s="723" t="s">
        <v>1076</v>
      </c>
      <c r="O43" s="701"/>
      <c r="P43" s="727" t="s">
        <v>38</v>
      </c>
      <c r="R43" s="723"/>
      <c r="S43" s="724" t="s">
        <v>857</v>
      </c>
      <c r="T43" s="741" t="s">
        <v>858</v>
      </c>
      <c r="U43" s="712" t="s">
        <v>859</v>
      </c>
    </row>
    <row r="44" spans="3:23">
      <c r="C44" s="723" t="s">
        <v>1060</v>
      </c>
      <c r="D44" s="742" t="s">
        <v>278</v>
      </c>
      <c r="E44" s="743" t="s">
        <v>63</v>
      </c>
      <c r="F44" s="750"/>
      <c r="N44" s="723" t="s">
        <v>1077</v>
      </c>
      <c r="O44" s="701"/>
      <c r="P44" s="727" t="s">
        <v>38</v>
      </c>
      <c r="R44" s="723" t="s">
        <v>793</v>
      </c>
      <c r="S44" s="724"/>
      <c r="T44" s="741" t="s">
        <v>861</v>
      </c>
      <c r="U44" s="712" t="s">
        <v>827</v>
      </c>
    </row>
    <row r="45" spans="3:23">
      <c r="C45" s="723" t="s">
        <v>1061</v>
      </c>
      <c r="D45" s="742" t="s">
        <v>278</v>
      </c>
      <c r="E45" s="743" t="s">
        <v>63</v>
      </c>
      <c r="N45" s="723" t="s">
        <v>1078</v>
      </c>
      <c r="O45" s="701"/>
      <c r="P45" s="727" t="s">
        <v>38</v>
      </c>
      <c r="R45" s="723" t="s">
        <v>863</v>
      </c>
      <c r="S45" s="724" t="s">
        <v>1161</v>
      </c>
      <c r="T45" s="751"/>
      <c r="U45" s="712" t="s">
        <v>827</v>
      </c>
    </row>
    <row r="46" spans="3:23">
      <c r="C46" s="723" t="s">
        <v>1062</v>
      </c>
      <c r="D46" s="742" t="s">
        <v>278</v>
      </c>
      <c r="E46" s="743" t="s">
        <v>63</v>
      </c>
      <c r="M46" s="752"/>
      <c r="N46" s="723" t="s">
        <v>1079</v>
      </c>
      <c r="O46" s="749"/>
      <c r="P46" s="727" t="s">
        <v>38</v>
      </c>
      <c r="Q46" s="752"/>
      <c r="R46" s="723"/>
      <c r="S46" s="724" t="s">
        <v>865</v>
      </c>
      <c r="T46" s="753" t="s">
        <v>866</v>
      </c>
      <c r="U46" s="752"/>
      <c r="V46" s="752"/>
      <c r="W46" s="752"/>
    </row>
    <row r="47" spans="3:23" ht="15" thickBot="1">
      <c r="C47" s="723" t="s">
        <v>792</v>
      </c>
      <c r="D47" s="581">
        <v>200</v>
      </c>
      <c r="E47" s="714" t="s">
        <v>1057</v>
      </c>
      <c r="M47" s="752"/>
      <c r="N47" s="731"/>
      <c r="O47" s="732"/>
      <c r="P47" s="754"/>
      <c r="Q47" s="752"/>
      <c r="R47" s="731" t="s">
        <v>793</v>
      </c>
      <c r="S47" s="732"/>
      <c r="T47" s="755">
        <v>0.99</v>
      </c>
      <c r="U47" s="712" t="s">
        <v>867</v>
      </c>
      <c r="V47" s="752"/>
      <c r="W47" s="752"/>
    </row>
    <row r="48" spans="3:23" ht="28.5" thickBot="1">
      <c r="C48" s="723" t="s">
        <v>995</v>
      </c>
      <c r="D48" s="978">
        <f>(1-D47/D43)*100</f>
        <v>87.467145677687739</v>
      </c>
      <c r="E48" s="743" t="s">
        <v>87</v>
      </c>
      <c r="M48" s="756"/>
      <c r="P48" s="756"/>
      <c r="Q48" s="756"/>
      <c r="R48" s="756"/>
      <c r="S48" s="756"/>
      <c r="T48" s="756"/>
      <c r="U48" s="756"/>
      <c r="V48" s="756"/>
      <c r="W48" s="756"/>
    </row>
    <row r="49" spans="3:23" ht="15">
      <c r="C49" s="723" t="s">
        <v>281</v>
      </c>
      <c r="D49" s="757">
        <f>(1-D47/D6)*100</f>
        <v>0</v>
      </c>
      <c r="E49" s="743" t="s">
        <v>87</v>
      </c>
      <c r="M49" s="752"/>
      <c r="N49" s="1181" t="s">
        <v>868</v>
      </c>
      <c r="O49" s="1182"/>
      <c r="P49" s="1183"/>
      <c r="Q49" s="752"/>
      <c r="R49" s="752"/>
      <c r="S49" s="752"/>
      <c r="T49" s="752"/>
      <c r="U49" s="752"/>
      <c r="V49" s="752"/>
      <c r="W49" s="752"/>
    </row>
    <row r="50" spans="3:23" ht="15" thickBot="1">
      <c r="C50" s="723" t="s">
        <v>803</v>
      </c>
      <c r="D50" s="758">
        <v>1</v>
      </c>
      <c r="E50" s="741"/>
      <c r="F50" s="712" t="s">
        <v>869</v>
      </c>
      <c r="M50" s="752"/>
      <c r="N50" s="731" t="s">
        <v>870</v>
      </c>
      <c r="O50" s="732"/>
      <c r="P50" s="733"/>
      <c r="Q50" s="712" t="s">
        <v>859</v>
      </c>
      <c r="R50" s="752"/>
      <c r="S50" s="752"/>
      <c r="T50" s="752"/>
      <c r="U50" s="752"/>
      <c r="V50" s="752"/>
      <c r="W50" s="752"/>
    </row>
    <row r="51" spans="3:23" ht="15" thickBot="1">
      <c r="C51" s="731"/>
      <c r="D51" s="980">
        <v>1</v>
      </c>
      <c r="E51" s="760"/>
      <c r="F51" s="712" t="s">
        <v>841</v>
      </c>
      <c r="M51" s="752"/>
      <c r="N51" s="724"/>
      <c r="O51" s="724"/>
      <c r="P51" s="724"/>
      <c r="Q51" s="752"/>
      <c r="R51" s="752"/>
      <c r="S51" s="752"/>
      <c r="T51" s="752"/>
      <c r="U51" s="752"/>
      <c r="V51" s="752"/>
      <c r="W51" s="752"/>
    </row>
    <row r="52" spans="3:23" ht="15" thickBot="1"/>
    <row r="53" spans="3:23" ht="15">
      <c r="C53" s="981"/>
      <c r="D53" s="1077" t="s">
        <v>1080</v>
      </c>
      <c r="E53" s="1078"/>
      <c r="H53" s="762"/>
      <c r="L53" s="1050" t="s">
        <v>165</v>
      </c>
      <c r="M53" s="1051"/>
      <c r="N53" s="1052"/>
    </row>
    <row r="54" spans="3:23" ht="16.5">
      <c r="C54" s="982" t="s">
        <v>1225</v>
      </c>
      <c r="D54" s="634">
        <f>+'Liquid fuels - emission calc.'!D82</f>
        <v>42.44</v>
      </c>
      <c r="E54" s="983" t="s">
        <v>89</v>
      </c>
      <c r="H54" s="762"/>
      <c r="K54" s="765"/>
      <c r="L54" s="763" t="s">
        <v>1225</v>
      </c>
      <c r="M54" s="780">
        <f>+D54</f>
        <v>42.44</v>
      </c>
      <c r="N54" s="766" t="s">
        <v>89</v>
      </c>
    </row>
    <row r="55" spans="3:23" ht="18.75">
      <c r="C55" s="982" t="s">
        <v>1226</v>
      </c>
      <c r="D55" s="634">
        <f>IF(D35="Y",D36,'Liquid fuels - emission calc.'!D83)</f>
        <v>1</v>
      </c>
      <c r="E55" s="983" t="s">
        <v>109</v>
      </c>
      <c r="H55" s="762"/>
      <c r="K55" s="765"/>
      <c r="L55" s="763" t="s">
        <v>1226</v>
      </c>
      <c r="M55" s="780">
        <f t="shared" ref="M55:M67" si="0">+D55</f>
        <v>1</v>
      </c>
      <c r="N55" s="766" t="s">
        <v>109</v>
      </c>
    </row>
    <row r="56" spans="3:23" ht="18.75">
      <c r="C56" s="982" t="s">
        <v>1227</v>
      </c>
      <c r="D56" s="634">
        <f>+'Liquid fuels - emission calc.'!D84</f>
        <v>0.1</v>
      </c>
      <c r="E56" s="983" t="s">
        <v>91</v>
      </c>
      <c r="H56" s="762"/>
      <c r="K56" s="765"/>
      <c r="L56" s="763" t="s">
        <v>1227</v>
      </c>
      <c r="M56" s="780">
        <f t="shared" si="0"/>
        <v>0.1</v>
      </c>
      <c r="N56" s="766" t="s">
        <v>91</v>
      </c>
    </row>
    <row r="57" spans="3:23" ht="18.75">
      <c r="C57" s="982" t="s">
        <v>1228</v>
      </c>
      <c r="D57" s="764">
        <f>+'Liquid fuels - emission calc.'!D94</f>
        <v>0.5</v>
      </c>
      <c r="E57" s="983" t="s">
        <v>110</v>
      </c>
      <c r="H57" s="762"/>
      <c r="K57" s="765"/>
      <c r="L57" s="763" t="s">
        <v>1228</v>
      </c>
      <c r="M57" s="780">
        <f t="shared" si="0"/>
        <v>0.5</v>
      </c>
      <c r="N57" s="714" t="s">
        <v>110</v>
      </c>
    </row>
    <row r="58" spans="3:23" ht="18.75">
      <c r="C58" s="982" t="s">
        <v>1229</v>
      </c>
      <c r="D58" s="768">
        <f>+'Liquid fuels - emission calc.'!D87</f>
        <v>14.155197444444443</v>
      </c>
      <c r="E58" s="983" t="s">
        <v>1083</v>
      </c>
      <c r="H58" s="762"/>
      <c r="K58" s="765"/>
      <c r="L58" s="763" t="s">
        <v>1229</v>
      </c>
      <c r="M58" s="780">
        <f t="shared" si="0"/>
        <v>14.155197444444443</v>
      </c>
      <c r="N58" s="766" t="s">
        <v>343</v>
      </c>
    </row>
    <row r="59" spans="3:23" ht="18.75">
      <c r="C59" s="982" t="s">
        <v>1230</v>
      </c>
      <c r="D59" s="984">
        <f>+'Liquid fuels - emission calc.'!D88</f>
        <v>13147923733.741753</v>
      </c>
      <c r="E59" s="985" t="s">
        <v>338</v>
      </c>
      <c r="H59" s="762"/>
      <c r="K59" s="765"/>
      <c r="L59" s="763" t="s">
        <v>1230</v>
      </c>
      <c r="M59" s="771">
        <f t="shared" si="0"/>
        <v>13147923733.741753</v>
      </c>
      <c r="N59" s="766" t="s">
        <v>338</v>
      </c>
    </row>
    <row r="60" spans="3:23" ht="18.75">
      <c r="C60" s="982" t="s">
        <v>1231</v>
      </c>
      <c r="D60" s="768">
        <f>+'Liquid fuels - emission calc.'!D85</f>
        <v>13.028271333333333</v>
      </c>
      <c r="E60" s="985" t="s">
        <v>1084</v>
      </c>
      <c r="H60" s="762"/>
      <c r="K60" s="765"/>
      <c r="L60" s="763" t="s">
        <v>1231</v>
      </c>
      <c r="M60" s="780">
        <f t="shared" si="0"/>
        <v>13.028271333333333</v>
      </c>
      <c r="N60" s="766" t="s">
        <v>344</v>
      </c>
    </row>
    <row r="61" spans="3:23" ht="18.75">
      <c r="C61" s="982" t="s">
        <v>1232</v>
      </c>
      <c r="D61" s="771">
        <f>+'Liquid fuels - emission calc.'!D86</f>
        <v>12101188877.474083</v>
      </c>
      <c r="E61" s="985" t="s">
        <v>339</v>
      </c>
      <c r="H61" s="762"/>
      <c r="K61" s="765"/>
      <c r="L61" s="763" t="s">
        <v>1232</v>
      </c>
      <c r="M61" s="771">
        <f t="shared" si="0"/>
        <v>12101188877.474083</v>
      </c>
      <c r="N61" s="766" t="s">
        <v>339</v>
      </c>
      <c r="O61" s="775"/>
    </row>
    <row r="62" spans="3:23" ht="18.75">
      <c r="C62" s="982" t="s">
        <v>1233</v>
      </c>
      <c r="D62" s="776">
        <f>+'Liquid fuels - emission calc.'!D89</f>
        <v>3.8044723457043941</v>
      </c>
      <c r="E62" s="985" t="s">
        <v>1234</v>
      </c>
      <c r="H62" s="762"/>
      <c r="K62" s="765"/>
      <c r="L62" s="763" t="s">
        <v>1233</v>
      </c>
      <c r="M62" s="780">
        <f t="shared" si="0"/>
        <v>3.8044723457043941</v>
      </c>
      <c r="N62" s="766" t="s">
        <v>1234</v>
      </c>
      <c r="O62" s="775"/>
    </row>
    <row r="63" spans="3:23" ht="18.75">
      <c r="C63" s="982" t="s">
        <v>1235</v>
      </c>
      <c r="D63" s="776">
        <f>+'Liquid fuels - emission calc.'!D90</f>
        <v>1.0467838127376934</v>
      </c>
      <c r="E63" s="983" t="s">
        <v>1236</v>
      </c>
      <c r="H63" s="762"/>
      <c r="K63" s="765"/>
      <c r="L63" s="763" t="s">
        <v>1235</v>
      </c>
      <c r="M63" s="780">
        <f t="shared" si="0"/>
        <v>1.0467838127376934</v>
      </c>
      <c r="N63" s="766" t="s">
        <v>1237</v>
      </c>
    </row>
    <row r="64" spans="3:23" ht="18.75">
      <c r="C64" s="986" t="s">
        <v>1238</v>
      </c>
      <c r="D64" s="776">
        <f>+'Liquid fuels - emission calc.'!D91/'Liquid fuels - emission calc.'!D83*D55</f>
        <v>1595.8056708912638</v>
      </c>
      <c r="E64" s="985" t="s">
        <v>1239</v>
      </c>
      <c r="H64" s="762"/>
      <c r="K64" s="765"/>
      <c r="L64" s="705" t="s">
        <v>1238</v>
      </c>
      <c r="M64" s="780">
        <f t="shared" si="0"/>
        <v>1595.8056708912638</v>
      </c>
      <c r="N64" s="766" t="s">
        <v>1240</v>
      </c>
    </row>
    <row r="65" spans="1:22" ht="18.75">
      <c r="C65" s="982" t="s">
        <v>1241</v>
      </c>
      <c r="D65" s="780">
        <f>+(D55*(100-D56-D57)/10000)*100</f>
        <v>0.99400000000000011</v>
      </c>
      <c r="E65" s="985" t="s">
        <v>797</v>
      </c>
      <c r="H65" s="762"/>
      <c r="K65" s="765"/>
      <c r="L65" s="763" t="s">
        <v>1241</v>
      </c>
      <c r="M65" s="780">
        <f t="shared" si="0"/>
        <v>0.99400000000000011</v>
      </c>
      <c r="N65" s="766" t="s">
        <v>797</v>
      </c>
    </row>
    <row r="66" spans="1:22" ht="18.75">
      <c r="C66" s="987" t="s">
        <v>1242</v>
      </c>
      <c r="D66" s="634">
        <f>1000*D65/100*((100-'Liquid fuels - emission calc.'!D43)/100)/D54*('Liquid fuels - emission calc.'!F9/'Liquid fuels - emission calc.'!D9)</f>
        <v>0.46798768567183474</v>
      </c>
      <c r="E66" s="985" t="s">
        <v>799</v>
      </c>
      <c r="H66" s="762"/>
      <c r="K66" s="765"/>
      <c r="L66" s="705" t="s">
        <v>1242</v>
      </c>
      <c r="M66" s="780">
        <f t="shared" si="0"/>
        <v>0.46798768567183474</v>
      </c>
      <c r="N66" s="714" t="s">
        <v>799</v>
      </c>
    </row>
    <row r="67" spans="1:22" ht="15" thickBot="1">
      <c r="C67" s="988" t="s">
        <v>800</v>
      </c>
      <c r="D67" s="989">
        <f>3.6/('Liquid fuels - emission calc.'!D21*10)</f>
        <v>9.0000000000000011E-3</v>
      </c>
      <c r="E67" s="990" t="s">
        <v>801</v>
      </c>
      <c r="H67" s="762"/>
      <c r="K67" s="785"/>
      <c r="L67" s="782" t="s">
        <v>800</v>
      </c>
      <c r="M67" s="780">
        <f t="shared" si="0"/>
        <v>9.0000000000000011E-3</v>
      </c>
      <c r="N67" s="786" t="s">
        <v>801</v>
      </c>
    </row>
    <row r="70" spans="1:22" ht="27.75">
      <c r="A70" s="708"/>
      <c r="B70" s="710"/>
      <c r="C70" s="709" t="s">
        <v>184</v>
      </c>
      <c r="D70" s="710"/>
      <c r="E70" s="710"/>
      <c r="F70" s="710"/>
      <c r="G70" s="710"/>
      <c r="H70" s="710"/>
      <c r="I70" s="710"/>
      <c r="J70" s="710"/>
      <c r="K70" s="710"/>
      <c r="L70" s="710"/>
      <c r="M70" s="710"/>
      <c r="N70" s="709" t="s">
        <v>328</v>
      </c>
      <c r="O70" s="710"/>
      <c r="P70" s="710"/>
      <c r="Q70" s="710"/>
      <c r="R70" s="708"/>
      <c r="S70" s="708"/>
      <c r="T70" s="708"/>
      <c r="U70" s="708"/>
      <c r="V70" s="708"/>
    </row>
    <row r="71" spans="1:22" s="752" customFormat="1" ht="15" thickBot="1">
      <c r="A71" s="712"/>
      <c r="B71" s="712"/>
      <c r="C71" s="712"/>
      <c r="D71" s="712"/>
      <c r="E71" s="712"/>
      <c r="F71" s="712"/>
      <c r="G71" s="712"/>
      <c r="H71" s="712"/>
      <c r="I71" s="712"/>
      <c r="J71" s="712"/>
      <c r="K71" s="712"/>
      <c r="L71" s="787"/>
      <c r="M71" s="787"/>
      <c r="N71" s="787"/>
      <c r="O71" s="787"/>
      <c r="P71" s="787"/>
      <c r="Q71" s="712"/>
      <c r="R71" s="712"/>
      <c r="S71" s="787"/>
      <c r="T71" s="712"/>
    </row>
    <row r="72" spans="1:22" s="752" customFormat="1" ht="15.75" thickBot="1">
      <c r="A72" s="712"/>
      <c r="B72" s="712"/>
      <c r="C72" s="1114" t="s">
        <v>872</v>
      </c>
      <c r="D72" s="1115"/>
      <c r="E72" s="1116"/>
      <c r="F72" s="712"/>
      <c r="G72" s="89"/>
      <c r="H72" s="712"/>
      <c r="I72" s="712"/>
      <c r="J72" s="712"/>
      <c r="K72" s="712"/>
      <c r="L72" s="712"/>
      <c r="M72" s="89"/>
      <c r="N72" s="89"/>
      <c r="O72" s="89"/>
      <c r="P72" s="787"/>
      <c r="Q72" s="712"/>
      <c r="R72" s="89"/>
      <c r="S72" s="712"/>
      <c r="T72" s="712"/>
    </row>
    <row r="73" spans="1:22" s="752" customFormat="1">
      <c r="A73" s="712"/>
      <c r="B73" s="712"/>
      <c r="C73" s="723" t="s">
        <v>794</v>
      </c>
      <c r="D73" s="788">
        <f>+IF(D$35="Y",'Liquid fuels - emission calc.'!$D$20*3.6*'Liquid fuels - emission calc.'!$D$33/100*8760*('Liquid fuels - emission calc.'!D96-M$66)/1000,0)</f>
        <v>0</v>
      </c>
      <c r="E73" s="789" t="s">
        <v>873</v>
      </c>
      <c r="F73" s="712"/>
      <c r="G73" s="712"/>
      <c r="H73" s="712"/>
      <c r="I73" s="712"/>
      <c r="J73" s="712"/>
      <c r="K73" s="712"/>
      <c r="L73" s="712"/>
      <c r="M73" s="790"/>
      <c r="N73" s="790"/>
      <c r="O73" s="790"/>
      <c r="P73" s="787"/>
      <c r="Q73" s="712"/>
      <c r="R73" s="790"/>
      <c r="S73" s="712"/>
      <c r="T73" s="712"/>
    </row>
    <row r="74" spans="1:22" s="752" customFormat="1">
      <c r="A74" s="712"/>
      <c r="B74" s="712"/>
      <c r="C74" s="723" t="s">
        <v>1208</v>
      </c>
      <c r="D74" s="791">
        <v>5</v>
      </c>
      <c r="E74" s="789" t="s">
        <v>875</v>
      </c>
      <c r="F74" s="712" t="s">
        <v>841</v>
      </c>
      <c r="G74" s="712"/>
      <c r="H74" s="712"/>
      <c r="I74" s="712"/>
      <c r="J74" s="712"/>
      <c r="K74" s="712"/>
      <c r="L74" s="712"/>
      <c r="M74" s="787"/>
      <c r="N74" s="787"/>
      <c r="O74" s="787"/>
      <c r="P74" s="787"/>
      <c r="Q74" s="712"/>
      <c r="R74" s="787"/>
      <c r="S74" s="712"/>
      <c r="T74" s="712"/>
    </row>
    <row r="75" spans="1:22" s="752" customFormat="1">
      <c r="A75" s="712"/>
      <c r="B75" s="712"/>
      <c r="C75" s="723" t="s">
        <v>125</v>
      </c>
      <c r="D75" s="792" t="s">
        <v>876</v>
      </c>
      <c r="E75" s="789" t="s">
        <v>123</v>
      </c>
      <c r="F75" s="712"/>
      <c r="G75" s="712"/>
      <c r="H75" s="712"/>
      <c r="I75" s="712"/>
      <c r="J75" s="712"/>
      <c r="K75" s="712"/>
      <c r="L75" s="712"/>
      <c r="M75" s="787"/>
      <c r="N75" s="787"/>
      <c r="O75" s="787"/>
      <c r="P75" s="787"/>
      <c r="Q75" s="712"/>
      <c r="R75" s="787"/>
      <c r="S75" s="712"/>
      <c r="T75" s="712"/>
    </row>
    <row r="76" spans="1:22" s="752" customFormat="1">
      <c r="A76" s="712"/>
      <c r="B76" s="712"/>
      <c r="C76" s="723" t="s">
        <v>34</v>
      </c>
      <c r="D76" s="792" t="s">
        <v>1038</v>
      </c>
      <c r="E76" s="789" t="s">
        <v>877</v>
      </c>
      <c r="F76" s="712"/>
      <c r="G76" s="712"/>
      <c r="H76" s="712"/>
      <c r="I76" s="712"/>
      <c r="J76" s="712"/>
      <c r="K76" s="712"/>
      <c r="L76" s="712"/>
      <c r="M76" s="787"/>
      <c r="N76" s="787"/>
      <c r="O76" s="787"/>
      <c r="P76" s="787"/>
      <c r="Q76" s="712"/>
      <c r="R76" s="787"/>
      <c r="S76" s="712"/>
      <c r="T76" s="712"/>
    </row>
    <row r="77" spans="1:22" s="752" customFormat="1">
      <c r="A77" s="712"/>
      <c r="B77" s="712"/>
      <c r="C77" s="723" t="s">
        <v>878</v>
      </c>
      <c r="D77" s="793">
        <f>IF(D$73=0,0,('Liquid fuels - emission calc.'!$D$20*'Liquid fuels - emission calc.'!$D$33/100*3.6*8760/D$54)*D$74)</f>
        <v>0</v>
      </c>
      <c r="E77" s="789" t="s">
        <v>877</v>
      </c>
      <c r="F77" s="712"/>
      <c r="G77" s="712"/>
      <c r="H77" s="712"/>
      <c r="I77" s="712"/>
      <c r="J77" s="712"/>
      <c r="K77" s="712"/>
      <c r="L77" s="712"/>
      <c r="M77" s="787"/>
      <c r="N77" s="787"/>
      <c r="O77" s="787"/>
      <c r="P77" s="787"/>
      <c r="Q77" s="712"/>
      <c r="R77" s="787"/>
      <c r="S77" s="712"/>
      <c r="T77" s="712"/>
    </row>
    <row r="78" spans="1:22" s="752" customFormat="1">
      <c r="A78" s="712"/>
      <c r="B78" s="712"/>
      <c r="C78" s="723"/>
      <c r="D78" s="793">
        <f>IF(D$73=0,0,('Liquid fuels - emission calc.'!$D$20*'Liquid fuels - emission calc.'!$D$33/100*3.6*8760/D$54))</f>
        <v>0</v>
      </c>
      <c r="E78" s="789" t="s">
        <v>1081</v>
      </c>
      <c r="F78" s="712"/>
      <c r="G78" s="712"/>
      <c r="H78" s="712"/>
      <c r="I78" s="712"/>
      <c r="J78" s="712"/>
      <c r="K78" s="712"/>
      <c r="L78" s="712"/>
      <c r="M78" s="787"/>
      <c r="N78" s="787"/>
      <c r="O78" s="787"/>
      <c r="P78" s="787"/>
      <c r="Q78" s="787"/>
      <c r="R78" s="787"/>
      <c r="S78" s="712"/>
      <c r="T78" s="712"/>
    </row>
    <row r="79" spans="1:22" s="752" customFormat="1" ht="15">
      <c r="A79" s="712"/>
      <c r="B79" s="712"/>
      <c r="C79" s="794" t="s">
        <v>879</v>
      </c>
      <c r="D79" s="795">
        <f>D77</f>
        <v>0</v>
      </c>
      <c r="E79" s="796" t="s">
        <v>877</v>
      </c>
      <c r="F79" s="797"/>
      <c r="G79" s="712"/>
      <c r="H79" s="712"/>
      <c r="I79" s="712"/>
      <c r="J79" s="712"/>
      <c r="K79" s="712"/>
      <c r="L79" s="712"/>
      <c r="M79" s="787"/>
      <c r="N79" s="787"/>
      <c r="O79" s="787"/>
      <c r="P79" s="787"/>
      <c r="Q79" s="787"/>
      <c r="R79" s="787"/>
      <c r="S79" s="712"/>
      <c r="T79" s="712"/>
    </row>
    <row r="80" spans="1:22" s="752" customFormat="1" ht="15.75" thickBot="1">
      <c r="A80" s="712"/>
      <c r="B80" s="712"/>
      <c r="C80" s="798" t="s">
        <v>795</v>
      </c>
      <c r="D80" s="799" t="e">
        <f>D79/D73</f>
        <v>#DIV/0!</v>
      </c>
      <c r="E80" s="800" t="s">
        <v>880</v>
      </c>
      <c r="F80" s="712"/>
      <c r="G80" s="712"/>
      <c r="H80" s="712"/>
      <c r="I80" s="712"/>
      <c r="J80" s="712"/>
      <c r="K80" s="712"/>
      <c r="L80" s="712"/>
      <c r="M80" s="787"/>
      <c r="N80" s="787"/>
      <c r="O80" s="787"/>
      <c r="P80" s="787"/>
      <c r="Q80" s="787"/>
      <c r="R80" s="787"/>
      <c r="S80" s="712"/>
      <c r="T80" s="712"/>
    </row>
    <row r="81" spans="1:20" s="752" customFormat="1">
      <c r="A81" s="712"/>
      <c r="B81" s="712"/>
      <c r="C81" s="712"/>
      <c r="D81" s="712"/>
      <c r="E81" s="712"/>
      <c r="F81" s="730"/>
      <c r="G81" s="712"/>
      <c r="H81" s="712"/>
      <c r="I81" s="712"/>
      <c r="J81" s="712"/>
      <c r="K81" s="712"/>
      <c r="L81" s="712"/>
      <c r="M81" s="787"/>
      <c r="N81" s="787"/>
      <c r="O81" s="787"/>
      <c r="P81" s="787"/>
      <c r="Q81" s="787"/>
      <c r="R81" s="787"/>
      <c r="S81" s="712"/>
      <c r="T81" s="712"/>
    </row>
    <row r="82" spans="1:20" s="752" customFormat="1" ht="15" thickBot="1">
      <c r="A82" s="712"/>
      <c r="B82" s="712"/>
      <c r="C82" s="712"/>
      <c r="D82" s="712"/>
      <c r="E82" s="712"/>
      <c r="F82" s="730"/>
      <c r="G82" s="712"/>
      <c r="H82" s="712"/>
      <c r="I82" s="712"/>
      <c r="J82" s="712"/>
      <c r="K82" s="712"/>
      <c r="L82" s="712"/>
      <c r="M82" s="787"/>
      <c r="N82" s="787"/>
      <c r="O82" s="787"/>
      <c r="P82" s="787"/>
      <c r="Q82" s="787"/>
      <c r="R82" s="787"/>
      <c r="S82" s="712"/>
      <c r="T82" s="712"/>
    </row>
    <row r="83" spans="1:20" s="752" customFormat="1" ht="15">
      <c r="A83" s="712"/>
      <c r="B83" s="712"/>
      <c r="C83" s="1173" t="s">
        <v>796</v>
      </c>
      <c r="D83" s="1174"/>
      <c r="E83" s="1175"/>
      <c r="F83" s="730"/>
      <c r="G83" s="712"/>
      <c r="H83" s="712"/>
      <c r="I83" s="712"/>
      <c r="J83" s="712"/>
      <c r="K83" s="712"/>
      <c r="L83" s="712"/>
      <c r="M83" s="787"/>
      <c r="N83" s="787"/>
      <c r="O83" s="787"/>
      <c r="P83" s="787"/>
      <c r="Q83" s="787"/>
      <c r="R83" s="787"/>
      <c r="S83" s="712"/>
      <c r="T83" s="712"/>
    </row>
    <row r="84" spans="1:20" s="752" customFormat="1">
      <c r="A84" s="712"/>
      <c r="B84" s="712"/>
      <c r="C84" s="801" t="s">
        <v>1040</v>
      </c>
      <c r="D84" s="802" t="str">
        <f>+D44</f>
        <v>Y</v>
      </c>
      <c r="E84" s="743"/>
      <c r="F84" s="730"/>
      <c r="G84" s="712"/>
      <c r="H84" s="712"/>
      <c r="I84" s="712"/>
      <c r="J84" s="712"/>
      <c r="K84" s="712"/>
      <c r="L84" s="712"/>
      <c r="M84" s="787"/>
      <c r="N84" s="724"/>
      <c r="O84" s="724"/>
      <c r="P84" s="724"/>
      <c r="Q84" s="787"/>
      <c r="R84" s="787"/>
      <c r="S84" s="712"/>
      <c r="T84" s="712"/>
    </row>
    <row r="85" spans="1:20" s="752" customFormat="1" ht="15" thickBot="1">
      <c r="A85" s="712"/>
      <c r="B85" s="712"/>
      <c r="C85" s="803" t="s">
        <v>794</v>
      </c>
      <c r="D85" s="788">
        <f>+IF(D84="Y",'Liquid fuels - emission calc.'!D$20*3.6*'Liquid fuels - emission calc.'!D$33/100*8760*(M$66/1000)*(D$48/100),0)</f>
        <v>16136.004258156394</v>
      </c>
      <c r="E85" s="804" t="s">
        <v>873</v>
      </c>
      <c r="F85" s="730"/>
      <c r="G85" s="712"/>
      <c r="H85" s="712"/>
      <c r="I85" s="712"/>
      <c r="J85" s="712"/>
      <c r="K85" s="712"/>
      <c r="L85" s="712"/>
      <c r="M85" s="787"/>
      <c r="N85" s="724"/>
      <c r="O85" s="724"/>
      <c r="P85" s="724"/>
      <c r="Q85" s="787"/>
      <c r="R85" s="787"/>
      <c r="S85" s="712"/>
      <c r="T85" s="712"/>
    </row>
    <row r="86" spans="1:20" s="752" customFormat="1" ht="15">
      <c r="A86" s="712"/>
      <c r="B86" s="712"/>
      <c r="C86" s="803" t="s">
        <v>881</v>
      </c>
      <c r="D86" s="581" t="s">
        <v>278</v>
      </c>
      <c r="E86" s="804" t="s">
        <v>85</v>
      </c>
      <c r="F86" s="730"/>
      <c r="G86" s="712"/>
      <c r="H86" s="712"/>
      <c r="I86" s="712"/>
      <c r="J86" s="712"/>
      <c r="K86" s="712"/>
      <c r="L86" s="712"/>
      <c r="M86" s="787"/>
      <c r="N86" s="1181" t="s">
        <v>883</v>
      </c>
      <c r="O86" s="1182"/>
      <c r="P86" s="1183"/>
      <c r="Q86" s="787"/>
      <c r="R86" s="787"/>
      <c r="S86" s="712"/>
      <c r="T86" s="712"/>
    </row>
    <row r="87" spans="1:20" s="752" customFormat="1" ht="15" thickBot="1">
      <c r="A87" s="712"/>
      <c r="B87" s="712"/>
      <c r="C87" s="1176" t="s">
        <v>58</v>
      </c>
      <c r="D87" s="1177"/>
      <c r="E87" s="1178"/>
      <c r="F87" s="730"/>
      <c r="G87" s="712"/>
      <c r="H87" s="712"/>
      <c r="I87" s="712"/>
      <c r="J87" s="712"/>
      <c r="K87" s="712"/>
      <c r="L87" s="712"/>
      <c r="M87" s="787"/>
      <c r="N87" s="731" t="s">
        <v>884</v>
      </c>
      <c r="O87" s="732"/>
      <c r="P87" s="733"/>
      <c r="Q87" s="787"/>
      <c r="R87" s="787"/>
      <c r="S87" s="712"/>
      <c r="T87" s="712"/>
    </row>
    <row r="88" spans="1:20" s="752" customFormat="1">
      <c r="A88" s="712"/>
      <c r="B88" s="712"/>
      <c r="C88" s="805" t="s">
        <v>964</v>
      </c>
      <c r="D88" s="806">
        <f>IF(D84="y",4859220*D$50*(D$51*M$67)^0.6*M$66^0.02*('Liquid fuels - emission calc.'!D$20*'Liquid fuels - emission calc.'!D$21/100)^0.716,0)</f>
        <v>24264943.217751883</v>
      </c>
      <c r="E88" s="807" t="s">
        <v>123</v>
      </c>
      <c r="F88" s="712" t="s">
        <v>885</v>
      </c>
      <c r="G88" s="712"/>
      <c r="H88" s="712"/>
      <c r="I88" s="712"/>
      <c r="J88" s="712"/>
      <c r="K88" s="712"/>
      <c r="L88" s="712"/>
      <c r="N88" s="724"/>
      <c r="O88" s="724"/>
      <c r="P88" s="749"/>
      <c r="Q88" s="787"/>
      <c r="R88" s="787"/>
      <c r="S88" s="712"/>
      <c r="T88" s="712"/>
    </row>
    <row r="89" spans="1:20" s="752" customFormat="1">
      <c r="A89" s="712"/>
      <c r="B89" s="712"/>
      <c r="C89" s="805" t="s">
        <v>958</v>
      </c>
      <c r="D89" s="806">
        <f>IF(D84="Y",550146*D$50*(M$66*M$67)^0.3*('Liquid fuels - emission calc.'!D$20*'Liquid fuels - emission calc.'!D$21/100)^0.716,0)</f>
        <v>9126065.1161679402</v>
      </c>
      <c r="E89" s="807" t="s">
        <v>123</v>
      </c>
      <c r="F89" s="712"/>
      <c r="G89" s="712"/>
      <c r="H89" s="712"/>
      <c r="I89" s="712"/>
      <c r="J89" s="712"/>
      <c r="K89" s="712"/>
      <c r="L89" s="712"/>
      <c r="Q89" s="787"/>
      <c r="R89" s="787"/>
      <c r="S89" s="712"/>
      <c r="T89" s="712"/>
    </row>
    <row r="90" spans="1:20" s="752" customFormat="1">
      <c r="A90" s="712"/>
      <c r="B90" s="712"/>
      <c r="C90" s="805" t="s">
        <v>959</v>
      </c>
      <c r="D90" s="806">
        <f>IF(D84="Y",650388*D$50*(M$66*M$67)^0.45*('Liquid fuels - emission calc.'!D$20*'Liquid fuels - emission calc.'!D$21/100)^0.716,0)</f>
        <v>4749519.3734557554</v>
      </c>
      <c r="E90" s="807" t="s">
        <v>123</v>
      </c>
      <c r="F90" s="712"/>
      <c r="G90" s="712"/>
      <c r="H90" s="712"/>
      <c r="I90" s="712"/>
      <c r="J90" s="712"/>
      <c r="K90" s="712"/>
      <c r="L90" s="712"/>
      <c r="Q90" s="787"/>
      <c r="R90" s="787"/>
      <c r="S90" s="712"/>
      <c r="T90" s="712"/>
    </row>
    <row r="91" spans="1:20" s="752" customFormat="1">
      <c r="A91" s="712"/>
      <c r="B91" s="712"/>
      <c r="C91" s="805" t="s">
        <v>960</v>
      </c>
      <c r="D91" s="806">
        <f>IF(D84="Y",3579844*(D$51*M$67)^0.4*('Liquid fuels - emission calc.'!D$20*'Liquid fuels - emission calc.'!D$21/100)^0.716,0)</f>
        <v>46561142.523454472</v>
      </c>
      <c r="E91" s="807" t="s">
        <v>123</v>
      </c>
      <c r="F91" s="712"/>
      <c r="G91" s="712"/>
      <c r="H91" s="712"/>
      <c r="I91" s="712"/>
      <c r="J91" s="712"/>
      <c r="K91" s="712"/>
      <c r="L91" s="712"/>
      <c r="R91" s="787"/>
      <c r="S91" s="712"/>
      <c r="T91" s="712"/>
    </row>
    <row r="92" spans="1:20" s="752" customFormat="1" ht="15">
      <c r="A92" s="712"/>
      <c r="B92" s="712"/>
      <c r="C92" s="808" t="s">
        <v>1210</v>
      </c>
      <c r="D92" s="809">
        <f>D91+D88+D89+D90</f>
        <v>84701670.230830044</v>
      </c>
      <c r="E92" s="807" t="s">
        <v>123</v>
      </c>
      <c r="F92" s="712"/>
      <c r="G92" s="712"/>
      <c r="H92" s="712"/>
      <c r="R92" s="787"/>
      <c r="S92" s="712"/>
      <c r="T92" s="712"/>
    </row>
    <row r="93" spans="1:20" s="752" customFormat="1">
      <c r="A93" s="712"/>
      <c r="B93" s="712"/>
      <c r="C93" s="803" t="s">
        <v>774</v>
      </c>
      <c r="D93" s="810">
        <f>+M213/100*D92</f>
        <v>25410501.069249012</v>
      </c>
      <c r="E93" s="807" t="s">
        <v>123</v>
      </c>
      <c r="F93" s="712"/>
      <c r="G93" s="712"/>
      <c r="H93" s="712"/>
      <c r="R93" s="787"/>
      <c r="S93" s="712"/>
      <c r="T93" s="712"/>
    </row>
    <row r="94" spans="1:20" s="752" customFormat="1">
      <c r="A94" s="712"/>
      <c r="B94" s="712"/>
      <c r="C94" s="803" t="s">
        <v>804</v>
      </c>
      <c r="D94" s="810">
        <f>+M214*(D92+D93)/100</f>
        <v>5505608.5650039529</v>
      </c>
      <c r="E94" s="807" t="s">
        <v>123</v>
      </c>
      <c r="F94" s="712"/>
      <c r="G94" s="712"/>
      <c r="H94" s="712"/>
      <c r="Q94" s="787"/>
      <c r="R94" s="787"/>
      <c r="S94" s="712"/>
      <c r="T94" s="712"/>
    </row>
    <row r="95" spans="1:20" s="752" customFormat="1" ht="15">
      <c r="A95" s="712"/>
      <c r="B95" s="712"/>
      <c r="C95" s="808" t="s">
        <v>805</v>
      </c>
      <c r="D95" s="809">
        <f>+D94+D93+D92</f>
        <v>115617779.86508301</v>
      </c>
      <c r="E95" s="807" t="s">
        <v>123</v>
      </c>
      <c r="F95" s="712"/>
      <c r="G95" s="712"/>
      <c r="H95" s="712"/>
      <c r="M95" s="787"/>
      <c r="Q95" s="787"/>
      <c r="R95" s="787"/>
      <c r="S95" s="712"/>
      <c r="T95" s="712"/>
    </row>
    <row r="96" spans="1:20" s="752" customFormat="1">
      <c r="A96" s="712"/>
      <c r="B96" s="712"/>
      <c r="C96" s="803"/>
      <c r="D96" s="811"/>
      <c r="E96" s="812"/>
      <c r="F96" s="712"/>
      <c r="G96" s="712"/>
      <c r="H96" s="712"/>
      <c r="M96" s="787"/>
      <c r="Q96" s="787"/>
      <c r="R96" s="787"/>
      <c r="S96" s="712"/>
      <c r="T96" s="712"/>
    </row>
    <row r="97" spans="1:22" s="752" customFormat="1">
      <c r="A97" s="712"/>
      <c r="B97" s="712"/>
      <c r="C97" s="803"/>
      <c r="D97" s="811"/>
      <c r="E97" s="804"/>
      <c r="F97" s="712"/>
      <c r="G97" s="712"/>
      <c r="H97" s="712"/>
      <c r="M97" s="787"/>
      <c r="Q97" s="787"/>
      <c r="R97" s="787"/>
      <c r="S97" s="712"/>
      <c r="T97" s="712"/>
    </row>
    <row r="98" spans="1:22" s="752" customFormat="1" ht="15.75" thickBot="1">
      <c r="A98" s="712"/>
      <c r="B98" s="712"/>
      <c r="C98" s="813" t="s">
        <v>34</v>
      </c>
      <c r="D98" s="814">
        <f>+D95*'Liquid fuels - emission calc.'!J5</f>
        <v>10398790.343514508</v>
      </c>
      <c r="E98" s="815" t="s">
        <v>877</v>
      </c>
      <c r="F98" s="712"/>
      <c r="G98" s="712"/>
      <c r="H98" s="712"/>
      <c r="I98" s="712"/>
      <c r="J98" s="712"/>
      <c r="K98" s="712"/>
      <c r="L98" s="724"/>
      <c r="M98" s="787"/>
      <c r="R98" s="787"/>
      <c r="S98" s="712"/>
      <c r="T98" s="712"/>
    </row>
    <row r="99" spans="1:22" s="752" customFormat="1" ht="15.75" thickBot="1">
      <c r="A99" s="712"/>
      <c r="B99" s="712"/>
      <c r="C99" s="1176" t="s">
        <v>33</v>
      </c>
      <c r="D99" s="1177"/>
      <c r="E99" s="1178"/>
      <c r="F99" s="712"/>
      <c r="G99" s="712"/>
      <c r="H99" s="712"/>
      <c r="I99" s="712"/>
      <c r="J99" s="712"/>
      <c r="K99" s="712"/>
      <c r="M99" s="787"/>
      <c r="N99" s="1184" t="s">
        <v>886</v>
      </c>
      <c r="O99" s="1185"/>
      <c r="P99" s="816"/>
      <c r="Q99" s="787"/>
      <c r="R99" s="787"/>
      <c r="S99" s="712"/>
      <c r="T99" s="712"/>
    </row>
    <row r="100" spans="1:22" s="752" customFormat="1" ht="15">
      <c r="A100" s="712"/>
      <c r="B100" s="712"/>
      <c r="C100" s="808" t="s">
        <v>30</v>
      </c>
      <c r="D100" s="810">
        <f>('Liquid fuels - emission calc.'!$D$20)^-0.284*0.1324*$D92</f>
        <v>1479985.688138308</v>
      </c>
      <c r="E100" s="804" t="s">
        <v>877</v>
      </c>
      <c r="F100" s="1179" t="s">
        <v>887</v>
      </c>
      <c r="G100" s="1179"/>
      <c r="H100" s="712"/>
      <c r="I100" s="712"/>
      <c r="J100" s="712"/>
      <c r="K100" s="712"/>
      <c r="M100" s="787"/>
      <c r="N100" s="719"/>
      <c r="O100" s="720"/>
      <c r="P100" s="721"/>
      <c r="Q100" s="787"/>
      <c r="R100" s="787"/>
      <c r="S100" s="712"/>
      <c r="T100" s="712"/>
    </row>
    <row r="101" spans="1:22" s="752" customFormat="1" ht="15.75" thickBot="1">
      <c r="A101" s="712"/>
      <c r="B101" s="712"/>
      <c r="C101" s="817"/>
      <c r="D101" s="818"/>
      <c r="E101" s="804"/>
      <c r="F101" s="712"/>
      <c r="G101" s="712"/>
      <c r="H101" s="712"/>
      <c r="I101" s="712"/>
      <c r="J101" s="712"/>
      <c r="K101" s="712"/>
      <c r="L101" s="712"/>
      <c r="M101" s="787"/>
      <c r="N101" s="819" t="s">
        <v>888</v>
      </c>
      <c r="O101" s="820">
        <v>2.5</v>
      </c>
      <c r="P101" s="754" t="s">
        <v>87</v>
      </c>
      <c r="Q101" s="787" t="s">
        <v>889</v>
      </c>
      <c r="R101" s="787"/>
      <c r="S101" s="712"/>
      <c r="T101" s="712"/>
    </row>
    <row r="102" spans="1:22" s="752" customFormat="1" ht="15">
      <c r="A102" s="712"/>
      <c r="B102" s="712"/>
      <c r="C102" s="817" t="s">
        <v>966</v>
      </c>
      <c r="D102" s="821"/>
      <c r="E102" s="804"/>
      <c r="F102" s="712"/>
      <c r="G102" s="712"/>
      <c r="H102" s="712"/>
      <c r="I102" s="712"/>
      <c r="J102" s="712"/>
      <c r="K102" s="712"/>
      <c r="L102" s="712"/>
      <c r="M102" s="787"/>
      <c r="N102" s="787"/>
      <c r="O102" s="787"/>
      <c r="P102" s="787"/>
      <c r="Q102" s="787"/>
      <c r="R102" s="787"/>
      <c r="S102" s="712"/>
      <c r="T102" s="712"/>
    </row>
    <row r="103" spans="1:22" s="752" customFormat="1">
      <c r="A103" s="712"/>
      <c r="B103" s="712"/>
      <c r="C103" s="805" t="s">
        <v>809</v>
      </c>
      <c r="D103" s="822">
        <f>D11</f>
        <v>40</v>
      </c>
      <c r="E103" s="823" t="s">
        <v>961</v>
      </c>
      <c r="F103" s="712" t="s">
        <v>820</v>
      </c>
      <c r="G103" s="712"/>
      <c r="H103" s="712"/>
      <c r="I103" s="712"/>
      <c r="J103" s="712"/>
      <c r="K103" s="712"/>
      <c r="R103" s="787"/>
      <c r="S103" s="712"/>
      <c r="T103" s="712"/>
    </row>
    <row r="104" spans="1:22" s="752" customFormat="1">
      <c r="A104" s="712"/>
      <c r="B104" s="712"/>
      <c r="C104" s="805" t="s">
        <v>890</v>
      </c>
      <c r="D104" s="824">
        <f>+(1.8*D$48/100-0.1267)/(D$10/100)</f>
        <v>1.5080298147899784</v>
      </c>
      <c r="E104" s="823" t="s">
        <v>812</v>
      </c>
      <c r="F104" s="712"/>
      <c r="G104" s="712"/>
      <c r="H104" s="712"/>
      <c r="I104" s="712"/>
      <c r="J104" s="712"/>
      <c r="K104" s="712"/>
      <c r="R104" s="787"/>
      <c r="S104" s="712"/>
      <c r="T104" s="712"/>
    </row>
    <row r="105" spans="1:22" s="752" customFormat="1">
      <c r="A105" s="712"/>
      <c r="B105" s="712"/>
      <c r="C105" s="805" t="s">
        <v>810</v>
      </c>
      <c r="D105" s="825">
        <f>+D104*D$85</f>
        <v>24333.575512877891</v>
      </c>
      <c r="E105" s="823" t="s">
        <v>891</v>
      </c>
      <c r="F105" s="712"/>
      <c r="G105" s="712"/>
      <c r="H105" s="712"/>
      <c r="I105" s="712"/>
      <c r="J105" s="712"/>
      <c r="K105" s="712"/>
      <c r="L105" s="712"/>
      <c r="M105" s="787"/>
      <c r="N105" s="787"/>
      <c r="O105" s="787"/>
      <c r="P105" s="787"/>
      <c r="Q105" s="787"/>
      <c r="R105" s="787"/>
      <c r="S105" s="712"/>
      <c r="T105" s="712"/>
    </row>
    <row r="106" spans="1:22" s="752" customFormat="1" ht="15">
      <c r="A106" s="712"/>
      <c r="B106" s="712"/>
      <c r="C106" s="808" t="s">
        <v>811</v>
      </c>
      <c r="D106" s="810">
        <f>D105*D103</f>
        <v>973343.0205151157</v>
      </c>
      <c r="E106" s="804" t="s">
        <v>877</v>
      </c>
      <c r="F106" s="712"/>
      <c r="G106" s="712"/>
      <c r="H106" s="712"/>
      <c r="I106" s="712"/>
      <c r="J106" s="712"/>
      <c r="K106" s="712"/>
      <c r="L106" s="712"/>
      <c r="M106" s="787"/>
      <c r="Q106" s="787"/>
      <c r="R106" s="787"/>
      <c r="S106" s="712"/>
      <c r="T106" s="712"/>
    </row>
    <row r="107" spans="1:22" s="752" customFormat="1">
      <c r="A107" s="712"/>
      <c r="B107" s="712"/>
      <c r="C107" s="826" t="s">
        <v>808</v>
      </c>
      <c r="D107" s="827">
        <f>'Liquid fuels - emission calc.'!H$33</f>
        <v>60</v>
      </c>
      <c r="E107" s="823" t="s">
        <v>48</v>
      </c>
      <c r="F107" s="712"/>
      <c r="G107" s="712"/>
      <c r="H107" s="712"/>
      <c r="I107" s="712"/>
      <c r="J107" s="712"/>
      <c r="K107" s="712"/>
      <c r="L107" s="712"/>
      <c r="M107" s="787"/>
      <c r="Q107" s="787"/>
      <c r="R107" s="787"/>
      <c r="S107" s="787"/>
      <c r="T107" s="787"/>
      <c r="U107" s="787"/>
      <c r="V107" s="787"/>
    </row>
    <row r="108" spans="1:22" s="752" customFormat="1">
      <c r="A108" s="712"/>
      <c r="B108" s="712"/>
      <c r="C108" s="826" t="s">
        <v>807</v>
      </c>
      <c r="D108" s="825">
        <f>IF(D84="Y",'Liquid fuels - emission calc.'!D$20*'Liquid fuels - emission calc.'!D$21/100*'Liquid fuels - emission calc.'!D$33/100*8760*(-0.049*'Liquid fuels - emission calc.'!D$21+3.3536)/100,0)</f>
        <v>61039.680000000008</v>
      </c>
      <c r="E108" s="828" t="s">
        <v>892</v>
      </c>
      <c r="F108" s="712"/>
      <c r="G108" s="712"/>
      <c r="H108" s="712"/>
      <c r="I108" s="712"/>
      <c r="J108" s="712"/>
      <c r="K108" s="712"/>
      <c r="L108" s="712"/>
      <c r="M108" s="787"/>
      <c r="Q108" s="787"/>
      <c r="R108" s="787"/>
      <c r="S108" s="787"/>
      <c r="T108" s="787"/>
      <c r="U108" s="787"/>
      <c r="V108" s="787"/>
    </row>
    <row r="109" spans="1:22" s="752" customFormat="1" ht="15">
      <c r="A109" s="712"/>
      <c r="B109" s="712"/>
      <c r="C109" s="829" t="s">
        <v>806</v>
      </c>
      <c r="D109" s="810">
        <f>+D108*D107</f>
        <v>3662380.8000000003</v>
      </c>
      <c r="E109" s="804" t="s">
        <v>877</v>
      </c>
      <c r="F109" s="712"/>
      <c r="G109" s="712"/>
      <c r="H109" s="712"/>
      <c r="I109" s="712"/>
      <c r="J109" s="712"/>
      <c r="K109" s="712"/>
      <c r="L109" s="712"/>
      <c r="M109" s="787"/>
      <c r="Q109" s="787"/>
      <c r="R109" s="787"/>
      <c r="S109" s="787"/>
      <c r="T109" s="787"/>
      <c r="U109" s="787"/>
      <c r="V109" s="787"/>
    </row>
    <row r="110" spans="1:22" s="752" customFormat="1">
      <c r="A110" s="712"/>
      <c r="B110" s="712"/>
      <c r="C110" s="830" t="s">
        <v>893</v>
      </c>
      <c r="D110" s="831">
        <f>+IF(D$86="Y",D$20,D$21)</f>
        <v>-0.15</v>
      </c>
      <c r="E110" s="823" t="s">
        <v>962</v>
      </c>
      <c r="F110" s="1179" t="s">
        <v>895</v>
      </c>
      <c r="G110" s="1179"/>
      <c r="H110" s="712"/>
      <c r="I110" s="712"/>
      <c r="J110" s="712"/>
      <c r="K110" s="712"/>
      <c r="L110" s="712"/>
      <c r="M110" s="787"/>
      <c r="N110" s="787"/>
      <c r="O110" s="787"/>
      <c r="P110" s="787"/>
      <c r="Q110" s="787"/>
      <c r="R110" s="787"/>
      <c r="S110" s="787"/>
      <c r="T110" s="787"/>
      <c r="U110" s="787"/>
      <c r="V110" s="787"/>
    </row>
    <row r="111" spans="1:22" s="752" customFormat="1" ht="15">
      <c r="A111" s="712"/>
      <c r="B111" s="712"/>
      <c r="C111" s="830" t="s">
        <v>896</v>
      </c>
      <c r="D111" s="832">
        <f>D104*((100-D$10)/100+D$10/100*1.91)</f>
        <v>2.8254446609905033</v>
      </c>
      <c r="E111" s="823" t="s">
        <v>897</v>
      </c>
      <c r="F111" s="712"/>
      <c r="G111" s="712"/>
      <c r="H111" s="712"/>
      <c r="I111" s="712"/>
      <c r="J111" s="712"/>
      <c r="K111" s="712"/>
      <c r="L111" s="712"/>
      <c r="M111" s="787"/>
      <c r="N111" s="833"/>
      <c r="O111" s="833"/>
      <c r="P111" s="833"/>
      <c r="Q111" s="833"/>
      <c r="R111" s="833"/>
      <c r="S111" s="833"/>
      <c r="T111" s="833"/>
      <c r="U111" s="833"/>
      <c r="V111" s="833"/>
    </row>
    <row r="112" spans="1:22" s="752" customFormat="1" ht="15">
      <c r="A112" s="712"/>
      <c r="B112" s="712"/>
      <c r="C112" s="803" t="s">
        <v>898</v>
      </c>
      <c r="D112" s="834">
        <f>D111*D85</f>
        <v>45591.387080928012</v>
      </c>
      <c r="E112" s="823" t="s">
        <v>963</v>
      </c>
      <c r="F112" s="716"/>
      <c r="G112" s="712"/>
      <c r="H112" s="712"/>
      <c r="I112" s="712"/>
      <c r="J112" s="712"/>
      <c r="K112" s="712"/>
      <c r="L112" s="712"/>
      <c r="M112" s="833"/>
      <c r="N112" s="833"/>
      <c r="O112" s="833"/>
      <c r="P112" s="833"/>
      <c r="Q112" s="833"/>
      <c r="R112" s="833"/>
      <c r="S112" s="833"/>
      <c r="T112" s="833"/>
      <c r="U112" s="833"/>
      <c r="V112" s="833"/>
    </row>
    <row r="113" spans="1:22" s="752" customFormat="1" ht="15">
      <c r="A113" s="712"/>
      <c r="B113" s="712"/>
      <c r="C113" s="808" t="s">
        <v>899</v>
      </c>
      <c r="D113" s="810">
        <f>D112*D110</f>
        <v>-6838.7080621392015</v>
      </c>
      <c r="E113" s="804" t="s">
        <v>877</v>
      </c>
      <c r="F113" s="712"/>
      <c r="G113" s="712"/>
      <c r="H113" s="712"/>
      <c r="I113" s="712"/>
      <c r="J113" s="712"/>
      <c r="K113" s="712"/>
      <c r="L113" s="712"/>
      <c r="M113" s="833"/>
      <c r="N113" s="749"/>
      <c r="O113" s="749"/>
      <c r="P113" s="749"/>
      <c r="Q113" s="749"/>
      <c r="R113" s="749"/>
      <c r="S113" s="749"/>
      <c r="T113" s="749"/>
      <c r="U113" s="749"/>
      <c r="V113" s="749"/>
    </row>
    <row r="114" spans="1:22" s="752" customFormat="1">
      <c r="A114" s="712"/>
      <c r="B114" s="712"/>
      <c r="C114" s="723"/>
      <c r="D114" s="835"/>
      <c r="E114" s="727"/>
      <c r="F114" s="712"/>
      <c r="G114" s="712"/>
      <c r="H114" s="712"/>
      <c r="I114" s="712"/>
      <c r="J114" s="712"/>
      <c r="K114" s="712"/>
      <c r="L114" s="712"/>
      <c r="M114" s="749"/>
      <c r="N114" s="749"/>
      <c r="O114" s="749"/>
      <c r="P114" s="749"/>
      <c r="Q114" s="749"/>
      <c r="R114" s="749"/>
      <c r="S114" s="749"/>
      <c r="T114" s="749"/>
      <c r="U114" s="749"/>
      <c r="V114" s="749"/>
    </row>
    <row r="115" spans="1:22" s="752" customFormat="1" ht="15">
      <c r="A115" s="712"/>
      <c r="B115" s="712"/>
      <c r="C115" s="813" t="s">
        <v>900</v>
      </c>
      <c r="D115" s="814">
        <f>+D100+D106+D109+D113</f>
        <v>6108870.8005912853</v>
      </c>
      <c r="E115" s="815" t="s">
        <v>877</v>
      </c>
      <c r="F115" s="1180"/>
      <c r="G115" s="712"/>
      <c r="H115" s="712"/>
      <c r="I115" s="712"/>
      <c r="J115" s="712"/>
      <c r="K115" s="712"/>
      <c r="L115" s="712"/>
      <c r="M115" s="749"/>
      <c r="N115" s="749"/>
      <c r="O115" s="749"/>
      <c r="P115" s="749"/>
      <c r="Q115" s="749"/>
      <c r="R115" s="749"/>
      <c r="S115" s="749"/>
      <c r="T115" s="749"/>
      <c r="U115" s="749"/>
      <c r="V115" s="749"/>
    </row>
    <row r="116" spans="1:22" s="752" customFormat="1" ht="15">
      <c r="A116" s="712"/>
      <c r="B116" s="712"/>
      <c r="C116" s="829"/>
      <c r="D116" s="836"/>
      <c r="E116" s="837"/>
      <c r="F116" s="1180"/>
      <c r="G116" s="712"/>
      <c r="H116" s="712"/>
      <c r="I116" s="712"/>
      <c r="J116" s="712"/>
      <c r="K116" s="712"/>
      <c r="L116" s="712"/>
      <c r="M116" s="749"/>
      <c r="N116" s="749"/>
      <c r="O116" s="749"/>
      <c r="P116" s="749"/>
      <c r="Q116" s="749"/>
      <c r="R116" s="749"/>
      <c r="S116" s="749"/>
      <c r="T116" s="749"/>
      <c r="U116" s="749"/>
      <c r="V116" s="749"/>
    </row>
    <row r="117" spans="1:22" s="752" customFormat="1" ht="15">
      <c r="A117" s="712"/>
      <c r="B117" s="712"/>
      <c r="C117" s="1167" t="s">
        <v>901</v>
      </c>
      <c r="D117" s="1168"/>
      <c r="E117" s="1169"/>
      <c r="F117" s="1180"/>
      <c r="G117" s="712"/>
      <c r="H117" s="712"/>
      <c r="I117" s="712"/>
      <c r="J117" s="712"/>
      <c r="K117" s="712"/>
      <c r="L117" s="712"/>
      <c r="M117" s="749"/>
      <c r="N117" s="749"/>
      <c r="O117" s="749"/>
      <c r="P117" s="749"/>
      <c r="Q117" s="749"/>
      <c r="R117" s="749"/>
      <c r="S117" s="749"/>
      <c r="T117" s="749"/>
      <c r="U117" s="749"/>
      <c r="V117" s="749"/>
    </row>
    <row r="118" spans="1:22" s="752" customFormat="1" ht="15">
      <c r="A118" s="712"/>
      <c r="B118" s="712"/>
      <c r="C118" s="813" t="s">
        <v>902</v>
      </c>
      <c r="D118" s="814">
        <f>D85</f>
        <v>16136.004258156394</v>
      </c>
      <c r="E118" s="815" t="s">
        <v>873</v>
      </c>
      <c r="F118" s="1180"/>
      <c r="G118" s="712"/>
      <c r="H118" s="712"/>
      <c r="I118" s="712"/>
      <c r="J118" s="712"/>
      <c r="K118" s="712"/>
      <c r="L118" s="712"/>
      <c r="M118" s="749"/>
      <c r="N118" s="749"/>
      <c r="O118" s="749"/>
      <c r="P118" s="749"/>
      <c r="Q118" s="749"/>
      <c r="R118" s="749"/>
      <c r="S118" s="749"/>
      <c r="T118" s="749"/>
      <c r="U118" s="749"/>
      <c r="V118" s="749"/>
    </row>
    <row r="119" spans="1:22" s="752" customFormat="1" ht="16.5">
      <c r="A119" s="712"/>
      <c r="B119" s="712"/>
      <c r="C119" s="813" t="s">
        <v>1045</v>
      </c>
      <c r="D119" s="814">
        <f>D$47</f>
        <v>200</v>
      </c>
      <c r="E119" s="838" t="s">
        <v>1243</v>
      </c>
      <c r="F119" s="1180"/>
      <c r="G119" s="712"/>
      <c r="H119" s="712"/>
      <c r="I119" s="712"/>
      <c r="J119" s="712"/>
      <c r="K119" s="712"/>
      <c r="L119" s="712"/>
      <c r="M119" s="749"/>
      <c r="N119" s="749"/>
      <c r="O119" s="749"/>
      <c r="P119" s="749"/>
      <c r="Q119" s="749"/>
      <c r="R119" s="749"/>
      <c r="S119" s="749"/>
      <c r="T119" s="749"/>
      <c r="U119" s="749"/>
      <c r="V119" s="749"/>
    </row>
    <row r="120" spans="1:22" s="752" customFormat="1" ht="16.5">
      <c r="A120" s="712"/>
      <c r="B120" s="712"/>
      <c r="C120" s="813" t="s">
        <v>1046</v>
      </c>
      <c r="D120" s="814">
        <f>D$43</f>
        <v>1595.8056708912638</v>
      </c>
      <c r="E120" s="838" t="s">
        <v>1243</v>
      </c>
      <c r="F120" s="1180"/>
      <c r="G120" s="712"/>
      <c r="H120" s="712"/>
      <c r="I120" s="712"/>
      <c r="J120" s="712"/>
      <c r="K120" s="712"/>
      <c r="L120" s="712"/>
      <c r="M120" s="749"/>
      <c r="N120" s="749"/>
      <c r="O120" s="749"/>
      <c r="P120" s="749"/>
      <c r="Q120" s="749"/>
      <c r="R120" s="749"/>
      <c r="S120" s="749"/>
      <c r="T120" s="749"/>
      <c r="U120" s="749"/>
      <c r="V120" s="749"/>
    </row>
    <row r="121" spans="1:22" s="752" customFormat="1" ht="15">
      <c r="A121" s="712"/>
      <c r="B121" s="712"/>
      <c r="C121" s="813" t="s">
        <v>1039</v>
      </c>
      <c r="D121" s="814">
        <f>(1-D119/D120)*100</f>
        <v>87.467145677687739</v>
      </c>
      <c r="E121" s="815" t="s">
        <v>87</v>
      </c>
      <c r="F121" s="1180"/>
      <c r="G121" s="712"/>
      <c r="H121" s="712"/>
      <c r="I121" s="712"/>
      <c r="J121" s="712"/>
      <c r="K121" s="712"/>
      <c r="L121" s="712"/>
      <c r="M121" s="749"/>
      <c r="N121" s="839"/>
      <c r="O121" s="839"/>
      <c r="P121" s="839"/>
      <c r="Q121" s="839"/>
      <c r="R121" s="839"/>
      <c r="S121" s="839"/>
      <c r="T121" s="839"/>
      <c r="U121" s="839"/>
      <c r="V121" s="839"/>
    </row>
    <row r="122" spans="1:22" s="752" customFormat="1" ht="15">
      <c r="A122" s="712"/>
      <c r="B122" s="712"/>
      <c r="C122" s="813" t="s">
        <v>906</v>
      </c>
      <c r="D122" s="814">
        <f>+D95</f>
        <v>115617779.86508301</v>
      </c>
      <c r="E122" s="815" t="s">
        <v>123</v>
      </c>
      <c r="F122" s="712"/>
      <c r="G122" s="712"/>
      <c r="H122" s="712"/>
      <c r="I122" s="712"/>
      <c r="J122" s="712"/>
      <c r="K122" s="712"/>
      <c r="L122" s="712"/>
      <c r="M122" s="839"/>
      <c r="N122" s="840"/>
      <c r="O122" s="840"/>
      <c r="P122" s="840"/>
      <c r="Q122" s="840"/>
      <c r="R122" s="840"/>
      <c r="S122" s="840"/>
      <c r="T122" s="840"/>
      <c r="U122" s="840"/>
      <c r="V122" s="840"/>
    </row>
    <row r="123" spans="1:22" s="752" customFormat="1" ht="15">
      <c r="A123" s="712"/>
      <c r="B123" s="712"/>
      <c r="C123" s="813" t="s">
        <v>879</v>
      </c>
      <c r="D123" s="814">
        <f>D115+D98</f>
        <v>16507661.144105792</v>
      </c>
      <c r="E123" s="815" t="s">
        <v>877</v>
      </c>
      <c r="F123" s="712"/>
      <c r="G123" s="712"/>
      <c r="H123" s="712"/>
      <c r="I123" s="712"/>
      <c r="J123" s="712"/>
      <c r="K123" s="712"/>
      <c r="L123" s="712"/>
      <c r="M123" s="839"/>
      <c r="N123" s="840"/>
      <c r="O123" s="840"/>
      <c r="P123" s="840"/>
      <c r="Q123" s="840"/>
      <c r="R123" s="840"/>
      <c r="S123" s="840"/>
      <c r="T123" s="840"/>
      <c r="U123" s="840"/>
      <c r="V123" s="840"/>
    </row>
    <row r="124" spans="1:22" s="752" customFormat="1" ht="15">
      <c r="A124" s="712"/>
      <c r="B124" s="712"/>
      <c r="C124" s="813" t="s">
        <v>814</v>
      </c>
      <c r="D124" s="814">
        <f>+IF(D84="Y",D123/D85,0)</f>
        <v>1023.0327706911414</v>
      </c>
      <c r="E124" s="815" t="s">
        <v>907</v>
      </c>
      <c r="F124" s="712"/>
      <c r="G124" s="712"/>
      <c r="H124" s="712"/>
      <c r="I124" s="712"/>
      <c r="J124" s="712"/>
      <c r="K124" s="712"/>
      <c r="L124" s="712"/>
      <c r="M124" s="839"/>
      <c r="N124" s="840"/>
      <c r="O124" s="840"/>
      <c r="P124" s="840"/>
      <c r="Q124" s="840"/>
      <c r="R124" s="840"/>
      <c r="S124" s="840"/>
      <c r="T124" s="840"/>
      <c r="U124" s="840"/>
      <c r="V124" s="840"/>
    </row>
    <row r="125" spans="1:22" s="752" customFormat="1" ht="15">
      <c r="A125" s="712"/>
      <c r="B125" s="712"/>
      <c r="C125" s="813" t="s">
        <v>908</v>
      </c>
      <c r="D125" s="814">
        <f>+D95/('Liquid fuels - emission calc.'!$D$20*1000)</f>
        <v>92.494223892066401</v>
      </c>
      <c r="E125" s="815" t="s">
        <v>303</v>
      </c>
      <c r="F125" s="712"/>
      <c r="G125" s="712"/>
      <c r="H125" s="712"/>
      <c r="I125" s="712"/>
      <c r="J125" s="712"/>
      <c r="K125" s="712"/>
      <c r="L125" s="712"/>
      <c r="M125" s="839"/>
      <c r="N125" s="840"/>
      <c r="O125" s="840"/>
      <c r="P125" s="840"/>
      <c r="Q125" s="840"/>
      <c r="R125" s="840"/>
      <c r="S125" s="840"/>
      <c r="T125" s="840"/>
      <c r="U125" s="840"/>
      <c r="V125" s="840"/>
    </row>
    <row r="126" spans="1:22" s="752" customFormat="1" ht="15">
      <c r="A126" s="712"/>
      <c r="B126" s="712"/>
      <c r="C126" s="813" t="s">
        <v>813</v>
      </c>
      <c r="D126" s="841">
        <f>+D108/('Liquid fuels - emission calc.'!D20*'Liquid fuels - emission calc.'!D21/100*'Liquid fuels - emission calc.'!$D$33/100*8760)*100</f>
        <v>1.3936000000000002</v>
      </c>
      <c r="E126" s="815" t="s">
        <v>87</v>
      </c>
      <c r="F126" s="712"/>
      <c r="G126" s="712"/>
      <c r="H126" s="712"/>
      <c r="I126" s="712"/>
      <c r="J126" s="712"/>
      <c r="K126" s="712"/>
      <c r="L126" s="712"/>
      <c r="M126" s="840"/>
      <c r="N126" s="842"/>
      <c r="O126" s="842"/>
      <c r="P126" s="842"/>
      <c r="Q126" s="842"/>
      <c r="R126" s="842"/>
      <c r="S126" s="842"/>
      <c r="T126" s="842"/>
      <c r="U126" s="842"/>
      <c r="V126" s="842"/>
    </row>
    <row r="127" spans="1:22" s="752" customFormat="1" ht="15">
      <c r="A127" s="712"/>
      <c r="B127" s="712"/>
      <c r="C127" s="794" t="s">
        <v>815</v>
      </c>
      <c r="D127" s="843">
        <f>IF(D123&gt;0,D$98/D123,"n/a")</f>
        <v>0.62993723052205297</v>
      </c>
      <c r="E127" s="844"/>
      <c r="F127" s="712"/>
      <c r="G127" s="712"/>
      <c r="H127" s="712"/>
      <c r="I127" s="712"/>
      <c r="J127" s="712"/>
      <c r="K127" s="712"/>
      <c r="L127" s="712"/>
      <c r="M127" s="842"/>
      <c r="N127" s="842"/>
      <c r="O127" s="842"/>
      <c r="P127" s="842"/>
      <c r="Q127" s="842"/>
      <c r="R127" s="842"/>
      <c r="S127" s="842"/>
      <c r="T127" s="842"/>
      <c r="U127" s="842"/>
      <c r="V127" s="842"/>
    </row>
    <row r="128" spans="1:22" s="752" customFormat="1" ht="15.75" thickBot="1">
      <c r="A128" s="712"/>
      <c r="B128" s="712"/>
      <c r="C128" s="798" t="s">
        <v>816</v>
      </c>
      <c r="D128" s="845">
        <f>IF(D123&gt;0,D115/D123,"n/a")</f>
        <v>0.37006276947794703</v>
      </c>
      <c r="E128" s="846"/>
      <c r="F128" s="712"/>
      <c r="G128" s="712"/>
      <c r="H128" s="712"/>
      <c r="I128" s="712"/>
      <c r="J128" s="712"/>
      <c r="K128" s="712"/>
      <c r="L128" s="712"/>
      <c r="M128" s="842"/>
      <c r="N128" s="842"/>
      <c r="O128" s="842"/>
      <c r="P128" s="842"/>
      <c r="Q128" s="842"/>
      <c r="R128" s="842"/>
      <c r="S128" s="842"/>
      <c r="T128" s="842"/>
      <c r="U128" s="842"/>
      <c r="V128" s="842"/>
    </row>
    <row r="129" spans="1:22" s="752" customFormat="1">
      <c r="A129" s="712"/>
      <c r="B129" s="712"/>
      <c r="C129" s="723"/>
      <c r="D129" s="724"/>
      <c r="E129" s="727"/>
      <c r="F129" s="712"/>
      <c r="G129" s="712"/>
      <c r="H129" s="712"/>
      <c r="I129" s="712"/>
      <c r="J129" s="712"/>
      <c r="K129" s="712"/>
      <c r="L129" s="712"/>
      <c r="M129" s="842"/>
      <c r="N129" s="842"/>
      <c r="O129" s="842"/>
      <c r="P129" s="842"/>
      <c r="Q129" s="842"/>
      <c r="R129" s="842"/>
      <c r="S129" s="842"/>
      <c r="T129" s="842"/>
      <c r="U129" s="842"/>
      <c r="V129" s="842"/>
    </row>
    <row r="130" spans="1:22" s="752" customFormat="1" ht="15">
      <c r="A130" s="712"/>
      <c r="B130" s="712"/>
      <c r="C130" s="1167" t="s">
        <v>909</v>
      </c>
      <c r="D130" s="1168"/>
      <c r="E130" s="1169"/>
      <c r="F130" s="712"/>
      <c r="G130" s="712"/>
      <c r="H130" s="712"/>
      <c r="I130" s="712"/>
      <c r="J130" s="712"/>
      <c r="K130" s="712"/>
      <c r="L130" s="712"/>
      <c r="M130" s="842"/>
      <c r="N130" s="842"/>
      <c r="O130" s="842"/>
      <c r="P130" s="842"/>
      <c r="Q130" s="842"/>
      <c r="R130" s="842"/>
      <c r="S130" s="842"/>
      <c r="T130" s="842"/>
      <c r="U130" s="842"/>
      <c r="V130" s="842"/>
    </row>
    <row r="131" spans="1:22" s="752" customFormat="1" ht="15">
      <c r="A131" s="712"/>
      <c r="B131" s="712"/>
      <c r="C131" s="813" t="s">
        <v>902</v>
      </c>
      <c r="D131" s="814">
        <f>+D85+D$73</f>
        <v>16136.004258156394</v>
      </c>
      <c r="E131" s="815" t="s">
        <v>873</v>
      </c>
      <c r="F131" s="712"/>
      <c r="G131" s="712"/>
      <c r="H131" s="712"/>
      <c r="I131" s="712"/>
      <c r="J131" s="712"/>
      <c r="K131" s="712"/>
      <c r="L131" s="712"/>
      <c r="M131" s="842"/>
      <c r="N131" s="787"/>
      <c r="O131" s="787"/>
      <c r="P131" s="787"/>
      <c r="Q131" s="787"/>
      <c r="R131" s="787"/>
      <c r="S131" s="787"/>
      <c r="T131" s="787"/>
      <c r="U131" s="787"/>
      <c r="V131" s="787"/>
    </row>
    <row r="132" spans="1:22" s="752" customFormat="1" ht="16.5">
      <c r="A132" s="712"/>
      <c r="B132" s="712"/>
      <c r="C132" s="813" t="s">
        <v>1045</v>
      </c>
      <c r="D132" s="814">
        <f>+D$119</f>
        <v>200</v>
      </c>
      <c r="E132" s="838" t="s">
        <v>1243</v>
      </c>
      <c r="F132" s="712"/>
      <c r="G132" s="712"/>
      <c r="H132" s="712"/>
      <c r="I132" s="712"/>
      <c r="J132" s="712"/>
      <c r="K132" s="787"/>
      <c r="L132" s="787"/>
      <c r="M132" s="787"/>
      <c r="N132" s="787"/>
      <c r="O132" s="787"/>
      <c r="P132" s="787"/>
      <c r="Q132" s="787"/>
      <c r="R132" s="787"/>
      <c r="S132" s="787"/>
      <c r="T132" s="787"/>
      <c r="U132" s="787"/>
      <c r="V132" s="787"/>
    </row>
    <row r="133" spans="1:22" s="752" customFormat="1" ht="16.5">
      <c r="A133" s="712"/>
      <c r="B133" s="712"/>
      <c r="C133" s="813" t="s">
        <v>1046</v>
      </c>
      <c r="D133" s="814">
        <f>+'Solid fuels - emission calc.'!J$106</f>
        <v>1311.4710348484239</v>
      </c>
      <c r="E133" s="838" t="s">
        <v>1243</v>
      </c>
      <c r="F133" s="712"/>
      <c r="G133" s="712"/>
      <c r="H133" s="712"/>
      <c r="I133" s="712"/>
      <c r="J133" s="712"/>
      <c r="K133" s="787"/>
      <c r="L133" s="787"/>
      <c r="M133" s="787"/>
      <c r="N133" s="787"/>
      <c r="O133" s="787"/>
      <c r="P133" s="787"/>
      <c r="Q133" s="787"/>
      <c r="R133" s="787"/>
      <c r="S133" s="787"/>
      <c r="T133" s="787"/>
      <c r="U133" s="787"/>
      <c r="V133" s="787"/>
    </row>
    <row r="134" spans="1:22" s="752" customFormat="1" ht="15">
      <c r="A134" s="712"/>
      <c r="B134" s="712"/>
      <c r="C134" s="813" t="s">
        <v>1039</v>
      </c>
      <c r="D134" s="814">
        <f>(1-D132/D133)*100</f>
        <v>84.74994912692712</v>
      </c>
      <c r="E134" s="815" t="s">
        <v>87</v>
      </c>
      <c r="F134" s="712"/>
      <c r="G134" s="712"/>
      <c r="H134" s="712"/>
      <c r="I134" s="712"/>
      <c r="J134" s="712"/>
      <c r="K134" s="787"/>
      <c r="L134" s="787"/>
      <c r="M134" s="787"/>
      <c r="N134" s="787"/>
      <c r="O134" s="787"/>
      <c r="P134" s="787"/>
      <c r="Q134" s="787"/>
      <c r="R134" s="787"/>
      <c r="S134" s="787"/>
      <c r="T134" s="787"/>
      <c r="U134" s="787"/>
      <c r="V134" s="787"/>
    </row>
    <row r="135" spans="1:22" s="752" customFormat="1" ht="15">
      <c r="A135" s="712"/>
      <c r="B135" s="712"/>
      <c r="C135" s="813" t="s">
        <v>906</v>
      </c>
      <c r="D135" s="814">
        <f>+D95</f>
        <v>115617779.86508301</v>
      </c>
      <c r="E135" s="815" t="s">
        <v>123</v>
      </c>
      <c r="F135" s="712"/>
      <c r="G135" s="712"/>
      <c r="H135" s="712"/>
      <c r="I135" s="712"/>
      <c r="J135" s="712"/>
      <c r="K135" s="787"/>
      <c r="L135" s="787"/>
      <c r="M135" s="787"/>
      <c r="N135" s="787"/>
      <c r="O135" s="787"/>
      <c r="P135" s="787"/>
      <c r="Q135" s="787"/>
      <c r="R135" s="787"/>
      <c r="S135" s="787"/>
      <c r="T135" s="787"/>
      <c r="U135" s="787"/>
      <c r="V135" s="787"/>
    </row>
    <row r="136" spans="1:22" s="752" customFormat="1" ht="15">
      <c r="A136" s="712"/>
      <c r="B136" s="712"/>
      <c r="C136" s="813" t="s">
        <v>879</v>
      </c>
      <c r="D136" s="814">
        <f>+D115+D98+D$79</f>
        <v>16507661.144105792</v>
      </c>
      <c r="E136" s="815" t="s">
        <v>877</v>
      </c>
      <c r="F136" s="712"/>
      <c r="G136" s="712"/>
      <c r="H136" s="712"/>
      <c r="I136" s="712"/>
      <c r="J136" s="712"/>
      <c r="K136" s="787"/>
      <c r="L136" s="787"/>
      <c r="M136" s="787"/>
      <c r="N136" s="787"/>
      <c r="O136" s="787"/>
      <c r="P136" s="787"/>
      <c r="Q136" s="787"/>
      <c r="R136" s="787"/>
      <c r="S136" s="787"/>
      <c r="T136" s="787"/>
      <c r="U136" s="787"/>
      <c r="V136" s="787"/>
    </row>
    <row r="137" spans="1:22" s="752" customFormat="1" ht="15">
      <c r="A137" s="712"/>
      <c r="B137" s="712"/>
      <c r="C137" s="813" t="s">
        <v>814</v>
      </c>
      <c r="D137" s="814">
        <f>+IF(D84="Y",D136/D131,0)</f>
        <v>1023.0327706911414</v>
      </c>
      <c r="E137" s="815" t="s">
        <v>907</v>
      </c>
      <c r="F137" s="712"/>
      <c r="G137" s="712"/>
      <c r="H137" s="712"/>
      <c r="I137" s="712"/>
      <c r="J137" s="712"/>
      <c r="K137" s="787"/>
      <c r="L137" s="787"/>
      <c r="M137" s="787"/>
      <c r="Q137" s="712"/>
      <c r="R137" s="787"/>
      <c r="S137" s="712"/>
      <c r="T137" s="712"/>
    </row>
    <row r="138" spans="1:22" s="752" customFormat="1" ht="15">
      <c r="A138" s="712"/>
      <c r="B138" s="712"/>
      <c r="C138" s="813" t="s">
        <v>908</v>
      </c>
      <c r="D138" s="814">
        <f>+D125</f>
        <v>92.494223892066401</v>
      </c>
      <c r="E138" s="815" t="s">
        <v>303</v>
      </c>
      <c r="F138" s="712"/>
      <c r="G138" s="712"/>
      <c r="H138" s="712"/>
      <c r="I138" s="712"/>
      <c r="J138" s="712"/>
      <c r="K138" s="787"/>
      <c r="L138" s="787"/>
      <c r="M138" s="787"/>
      <c r="Q138" s="712"/>
      <c r="R138" s="787"/>
      <c r="S138" s="712"/>
      <c r="T138" s="712"/>
    </row>
    <row r="139" spans="1:22" s="752" customFormat="1" ht="15">
      <c r="A139" s="712"/>
      <c r="B139" s="712"/>
      <c r="C139" s="813" t="s">
        <v>813</v>
      </c>
      <c r="D139" s="841">
        <f>+D126</f>
        <v>1.3936000000000002</v>
      </c>
      <c r="E139" s="815" t="s">
        <v>87</v>
      </c>
      <c r="F139" s="712"/>
      <c r="G139" s="712"/>
      <c r="H139" s="712"/>
      <c r="I139" s="712"/>
      <c r="J139" s="712"/>
      <c r="K139" s="787"/>
      <c r="L139" s="787"/>
      <c r="M139" s="787"/>
      <c r="Q139" s="712"/>
      <c r="R139" s="787"/>
      <c r="S139" s="712"/>
      <c r="T139" s="712"/>
    </row>
    <row r="140" spans="1:22" s="752" customFormat="1" ht="15">
      <c r="A140" s="712"/>
      <c r="B140" s="712"/>
      <c r="C140" s="794" t="s">
        <v>815</v>
      </c>
      <c r="D140" s="843">
        <f>IF(D136&gt;0,D98/D136,"n/a")</f>
        <v>0.62993723052205297</v>
      </c>
      <c r="E140" s="844"/>
      <c r="F140" s="712"/>
      <c r="G140" s="712"/>
      <c r="H140" s="712"/>
      <c r="I140" s="712"/>
      <c r="J140" s="712"/>
      <c r="K140" s="787"/>
      <c r="L140" s="787"/>
      <c r="M140" s="787"/>
      <c r="N140" s="787"/>
      <c r="O140" s="787"/>
      <c r="P140" s="787"/>
      <c r="Q140" s="787"/>
      <c r="R140" s="787"/>
      <c r="S140" s="712"/>
      <c r="T140" s="712"/>
    </row>
    <row r="141" spans="1:22" s="752" customFormat="1" ht="15.75" thickBot="1">
      <c r="A141" s="712"/>
      <c r="B141" s="712"/>
      <c r="C141" s="798" t="s">
        <v>816</v>
      </c>
      <c r="D141" s="845">
        <f>IF(D136&gt;0,(D115+D$79)/D136,"n/a")</f>
        <v>0.37006276947794703</v>
      </c>
      <c r="E141" s="846"/>
      <c r="F141" s="712"/>
      <c r="G141" s="712"/>
      <c r="H141" s="712"/>
      <c r="I141" s="712"/>
      <c r="J141" s="712"/>
      <c r="K141" s="787"/>
      <c r="L141" s="787"/>
      <c r="M141" s="787"/>
      <c r="N141" s="787"/>
      <c r="O141" s="787"/>
      <c r="P141" s="787"/>
      <c r="Q141" s="787"/>
      <c r="R141" s="787"/>
      <c r="S141" s="712"/>
      <c r="T141" s="712"/>
    </row>
    <row r="142" spans="1:22" s="752" customFormat="1">
      <c r="A142" s="712"/>
      <c r="B142" s="712"/>
      <c r="C142" s="712"/>
      <c r="D142" s="712"/>
      <c r="E142" s="712"/>
      <c r="F142" s="712"/>
      <c r="G142" s="712"/>
      <c r="H142" s="712"/>
      <c r="I142" s="712"/>
      <c r="J142" s="712"/>
      <c r="K142" s="787"/>
      <c r="L142" s="787"/>
      <c r="M142" s="787"/>
      <c r="N142" s="787"/>
      <c r="O142" s="787"/>
      <c r="P142" s="787"/>
      <c r="Q142" s="787"/>
      <c r="R142" s="787"/>
      <c r="S142" s="712"/>
      <c r="T142" s="712"/>
    </row>
    <row r="143" spans="1:22" s="752" customFormat="1">
      <c r="A143" s="712"/>
      <c r="B143" s="712"/>
      <c r="C143" s="712"/>
      <c r="D143" s="712"/>
      <c r="E143" s="712"/>
      <c r="F143" s="712"/>
      <c r="G143" s="712"/>
      <c r="H143" s="712"/>
      <c r="I143" s="712"/>
      <c r="J143" s="712"/>
      <c r="K143" s="787"/>
      <c r="L143" s="787"/>
      <c r="M143" s="787"/>
      <c r="N143" s="787"/>
      <c r="O143" s="787"/>
      <c r="P143" s="787"/>
      <c r="Q143" s="787"/>
      <c r="R143" s="787"/>
      <c r="S143" s="712"/>
      <c r="T143" s="712"/>
    </row>
    <row r="144" spans="1:22" s="752" customFormat="1">
      <c r="A144" s="712"/>
      <c r="B144" s="712"/>
      <c r="C144" s="712"/>
      <c r="D144" s="712"/>
      <c r="E144" s="712"/>
      <c r="F144" s="712"/>
      <c r="G144" s="712"/>
      <c r="H144" s="712"/>
      <c r="I144" s="712"/>
      <c r="J144" s="712"/>
      <c r="K144" s="787"/>
      <c r="L144" s="787"/>
      <c r="M144" s="787"/>
      <c r="N144" s="787"/>
      <c r="O144" s="787"/>
      <c r="P144" s="787"/>
      <c r="Q144" s="787"/>
      <c r="R144" s="787"/>
      <c r="S144" s="712"/>
      <c r="T144" s="712"/>
    </row>
    <row r="145" spans="1:20" s="752" customFormat="1" ht="15" thickBot="1">
      <c r="A145" s="712"/>
      <c r="B145" s="712"/>
      <c r="C145" s="712"/>
      <c r="D145" s="712"/>
      <c r="E145" s="712"/>
      <c r="F145" s="712"/>
      <c r="G145" s="712"/>
      <c r="H145" s="712"/>
      <c r="I145" s="712"/>
      <c r="J145" s="712"/>
      <c r="K145" s="787"/>
      <c r="L145" s="787"/>
      <c r="M145" s="787"/>
      <c r="N145" s="787"/>
      <c r="O145" s="787"/>
      <c r="P145" s="787"/>
      <c r="Q145" s="787"/>
      <c r="R145" s="787"/>
      <c r="S145" s="712"/>
      <c r="T145" s="712"/>
    </row>
    <row r="146" spans="1:20" s="752" customFormat="1" ht="15">
      <c r="A146" s="712"/>
      <c r="B146" s="712"/>
      <c r="C146" s="1173" t="s">
        <v>1047</v>
      </c>
      <c r="D146" s="1174"/>
      <c r="E146" s="1175"/>
      <c r="F146" s="712"/>
      <c r="G146" s="712"/>
      <c r="H146" s="712"/>
      <c r="I146" s="712"/>
      <c r="J146" s="712"/>
      <c r="K146" s="787"/>
      <c r="L146" s="787"/>
      <c r="M146" s="787"/>
      <c r="N146" s="787"/>
      <c r="O146" s="787"/>
      <c r="P146" s="787"/>
      <c r="Q146" s="787"/>
      <c r="R146" s="787"/>
      <c r="S146" s="712"/>
      <c r="T146" s="712"/>
    </row>
    <row r="147" spans="1:20" s="752" customFormat="1">
      <c r="A147" s="712"/>
      <c r="B147" s="712"/>
      <c r="C147" s="801" t="s">
        <v>1041</v>
      </c>
      <c r="D147" s="802" t="str">
        <f>+D45</f>
        <v>Y</v>
      </c>
      <c r="E147" s="743" t="s">
        <v>85</v>
      </c>
      <c r="F147" s="712"/>
      <c r="G147" s="712"/>
      <c r="H147" s="712"/>
      <c r="I147" s="712"/>
      <c r="J147" s="712"/>
      <c r="K147" s="787"/>
      <c r="L147" s="787"/>
      <c r="M147" s="787"/>
      <c r="N147" s="787"/>
      <c r="O147" s="787"/>
      <c r="P147" s="787"/>
      <c r="Q147" s="787"/>
      <c r="R147" s="787"/>
      <c r="S147" s="712"/>
      <c r="T147" s="712"/>
    </row>
    <row r="148" spans="1:20" s="752" customFormat="1">
      <c r="A148" s="712"/>
      <c r="B148" s="712"/>
      <c r="C148" s="803" t="s">
        <v>794</v>
      </c>
      <c r="D148" s="788">
        <f>+IF(D147="Y",'Liquid fuels - emission calc.'!D$20*3.6*'Liquid fuels - emission calc.'!D$33/100*8760*(M$66/1000)*(D$48/100),0)</f>
        <v>16136.004258156394</v>
      </c>
      <c r="E148" s="804" t="s">
        <v>873</v>
      </c>
      <c r="F148" s="712"/>
      <c r="G148" s="712"/>
      <c r="H148" s="712"/>
      <c r="I148" s="712"/>
      <c r="J148" s="712"/>
      <c r="K148" s="787"/>
      <c r="L148" s="787"/>
      <c r="M148" s="787"/>
      <c r="N148" s="787"/>
      <c r="O148" s="787"/>
      <c r="P148" s="787"/>
      <c r="Q148" s="787"/>
      <c r="R148" s="787"/>
      <c r="S148" s="712"/>
      <c r="T148" s="712"/>
    </row>
    <row r="149" spans="1:20" s="752" customFormat="1">
      <c r="A149" s="712"/>
      <c r="B149" s="712"/>
      <c r="C149" s="803" t="s">
        <v>881</v>
      </c>
      <c r="D149" s="581" t="s">
        <v>95</v>
      </c>
      <c r="E149" s="804" t="s">
        <v>882</v>
      </c>
      <c r="F149" s="712"/>
      <c r="G149" s="712"/>
      <c r="H149" s="712"/>
      <c r="I149" s="712"/>
      <c r="J149" s="712"/>
      <c r="K149" s="787"/>
      <c r="L149" s="787"/>
      <c r="M149" s="787"/>
      <c r="N149" s="787"/>
      <c r="O149" s="787"/>
      <c r="P149" s="787"/>
      <c r="Q149" s="787"/>
      <c r="R149" s="787"/>
      <c r="S149" s="712"/>
      <c r="T149" s="712"/>
    </row>
    <row r="150" spans="1:20" s="752" customFormat="1">
      <c r="A150" s="712"/>
      <c r="B150" s="712"/>
      <c r="C150" s="803"/>
      <c r="D150" s="811"/>
      <c r="E150" s="804"/>
      <c r="F150" s="712"/>
      <c r="G150" s="712"/>
      <c r="H150" s="712"/>
      <c r="I150" s="712"/>
      <c r="J150" s="712"/>
      <c r="K150" s="787"/>
      <c r="L150" s="787"/>
      <c r="M150" s="787"/>
      <c r="N150" s="787"/>
      <c r="O150" s="787"/>
      <c r="P150" s="787"/>
      <c r="Q150" s="787"/>
      <c r="R150" s="787"/>
      <c r="S150" s="712"/>
      <c r="T150" s="712"/>
    </row>
    <row r="151" spans="1:20" s="752" customFormat="1">
      <c r="A151" s="712"/>
      <c r="B151" s="712"/>
      <c r="C151" s="803"/>
      <c r="D151" s="811"/>
      <c r="E151" s="804"/>
      <c r="F151" s="712"/>
      <c r="G151" s="712"/>
      <c r="H151" s="712"/>
      <c r="I151" s="712"/>
      <c r="J151" s="712"/>
      <c r="K151" s="787"/>
      <c r="L151" s="787"/>
      <c r="M151" s="787"/>
      <c r="N151" s="787"/>
      <c r="O151" s="787"/>
      <c r="P151" s="787"/>
      <c r="Q151" s="787"/>
      <c r="R151" s="787"/>
      <c r="S151" s="712"/>
      <c r="T151" s="712"/>
    </row>
    <row r="152" spans="1:20" s="752" customFormat="1">
      <c r="A152" s="712"/>
      <c r="B152" s="712"/>
      <c r="C152" s="803"/>
      <c r="D152" s="811"/>
      <c r="E152" s="804"/>
      <c r="F152" s="712"/>
      <c r="G152" s="712"/>
      <c r="H152" s="712"/>
      <c r="I152" s="712"/>
      <c r="J152" s="712"/>
      <c r="K152" s="787"/>
      <c r="L152" s="787"/>
      <c r="M152" s="787"/>
      <c r="N152" s="787"/>
      <c r="O152" s="787"/>
      <c r="P152" s="787"/>
      <c r="Q152" s="787"/>
      <c r="R152" s="787"/>
      <c r="S152" s="712"/>
      <c r="T152" s="712"/>
    </row>
    <row r="153" spans="1:20" s="752" customFormat="1">
      <c r="A153" s="712"/>
      <c r="B153" s="712"/>
      <c r="C153" s="1176" t="s">
        <v>58</v>
      </c>
      <c r="D153" s="1177"/>
      <c r="E153" s="1178"/>
      <c r="F153" s="712"/>
      <c r="G153" s="712"/>
      <c r="H153" s="712"/>
      <c r="I153" s="712"/>
      <c r="J153" s="712"/>
      <c r="K153" s="787"/>
      <c r="L153" s="787"/>
      <c r="M153" s="787"/>
      <c r="N153" s="787"/>
      <c r="O153" s="787"/>
      <c r="P153" s="787"/>
      <c r="Q153" s="787"/>
      <c r="R153" s="787"/>
      <c r="S153" s="712"/>
      <c r="T153" s="712"/>
    </row>
    <row r="154" spans="1:20" s="752" customFormat="1">
      <c r="A154" s="712"/>
      <c r="B154" s="712"/>
      <c r="C154" s="805" t="s">
        <v>964</v>
      </c>
      <c r="D154" s="806">
        <f>IF(D147="Y",4958591*D$50*(D$51*M$67)^0.6*M$66^0.01*('Liquid fuels - emission calc.'!D$20*'Liquid fuels - emission calc.'!D$21/100)^0.716,0)</f>
        <v>24949891.470838986</v>
      </c>
      <c r="E154" s="807" t="s">
        <v>123</v>
      </c>
      <c r="F154" s="712" t="s">
        <v>885</v>
      </c>
      <c r="G154" s="712"/>
      <c r="H154" s="712"/>
      <c r="I154" s="712"/>
      <c r="J154" s="712"/>
      <c r="K154" s="787"/>
      <c r="L154" s="787"/>
      <c r="M154" s="787"/>
      <c r="N154" s="787"/>
      <c r="O154" s="787"/>
      <c r="P154" s="787"/>
      <c r="Q154" s="787"/>
      <c r="R154" s="787"/>
      <c r="S154" s="712"/>
      <c r="T154" s="712"/>
    </row>
    <row r="155" spans="1:20" s="752" customFormat="1">
      <c r="A155" s="712"/>
      <c r="B155" s="712"/>
      <c r="C155" s="805" t="s">
        <v>965</v>
      </c>
      <c r="D155" s="806">
        <f>IF(D147="Y",506461*D$50*(M$66*M$67)^0.2*('Liquid fuels - emission calc.'!D$20*'Liquid fuels - emission calc.'!D$21/100)^0.716,0)</f>
        <v>14517903.931693697</v>
      </c>
      <c r="E155" s="807" t="s">
        <v>123</v>
      </c>
      <c r="F155" s="712"/>
      <c r="G155" s="712"/>
      <c r="H155" s="712"/>
      <c r="I155" s="712"/>
      <c r="J155" s="712"/>
      <c r="K155" s="787"/>
      <c r="L155" s="787"/>
      <c r="M155" s="787"/>
      <c r="N155" s="787"/>
      <c r="O155" s="787"/>
      <c r="P155" s="787"/>
      <c r="Q155" s="787"/>
      <c r="R155" s="787"/>
      <c r="S155" s="712"/>
      <c r="T155" s="712"/>
    </row>
    <row r="156" spans="1:20" s="752" customFormat="1">
      <c r="A156" s="712"/>
      <c r="B156" s="712"/>
      <c r="C156" s="805"/>
      <c r="D156" s="991"/>
      <c r="E156" s="807"/>
      <c r="F156" s="712"/>
      <c r="G156" s="712"/>
      <c r="H156" s="712"/>
      <c r="I156" s="712"/>
      <c r="J156" s="712"/>
      <c r="K156" s="787"/>
      <c r="L156" s="787"/>
      <c r="M156" s="787"/>
      <c r="N156" s="787"/>
      <c r="O156" s="787"/>
      <c r="P156" s="787"/>
      <c r="Q156" s="787"/>
      <c r="R156" s="787"/>
      <c r="S156" s="712"/>
      <c r="T156" s="712"/>
    </row>
    <row r="157" spans="1:20" s="752" customFormat="1">
      <c r="A157" s="712"/>
      <c r="B157" s="712"/>
      <c r="C157" s="805" t="s">
        <v>960</v>
      </c>
      <c r="D157" s="806">
        <f>IF(D147="Y",2831975*(D$51*M$67)^0.4*('Liquid fuels - emission calc.'!D$20*'Liquid fuels - emission calc.'!D$21/100)^0.716,0)</f>
        <v>36834004.944869094</v>
      </c>
      <c r="E157" s="807" t="s">
        <v>123</v>
      </c>
      <c r="F157" s="712"/>
      <c r="G157" s="712"/>
      <c r="H157" s="712"/>
      <c r="I157" s="712"/>
      <c r="J157" s="712"/>
      <c r="K157" s="787"/>
      <c r="L157" s="787"/>
      <c r="M157" s="787"/>
      <c r="N157" s="787"/>
      <c r="O157" s="787"/>
      <c r="P157" s="787"/>
      <c r="Q157" s="787"/>
      <c r="R157" s="787"/>
      <c r="S157" s="712"/>
      <c r="T157" s="712"/>
    </row>
    <row r="158" spans="1:20" s="752" customFormat="1" ht="15">
      <c r="A158" s="712"/>
      <c r="B158" s="712"/>
      <c r="C158" s="808" t="s">
        <v>1211</v>
      </c>
      <c r="D158" s="809">
        <f>D157+D154+D155+D156</f>
        <v>76301800.347401783</v>
      </c>
      <c r="E158" s="807" t="s">
        <v>123</v>
      </c>
      <c r="F158" s="712"/>
      <c r="G158" s="712"/>
      <c r="H158" s="712"/>
      <c r="I158" s="712"/>
      <c r="J158" s="712"/>
      <c r="K158" s="787"/>
      <c r="L158" s="787"/>
      <c r="M158" s="787"/>
      <c r="N158" s="787"/>
      <c r="O158" s="787"/>
      <c r="P158" s="787"/>
      <c r="Q158" s="787"/>
      <c r="R158" s="787"/>
      <c r="S158" s="712"/>
      <c r="T158" s="712"/>
    </row>
    <row r="159" spans="1:20" s="752" customFormat="1">
      <c r="A159" s="712"/>
      <c r="B159" s="712"/>
      <c r="C159" s="803" t="s">
        <v>774</v>
      </c>
      <c r="D159" s="810">
        <f>+M213/100*D158</f>
        <v>22890540.104220536</v>
      </c>
      <c r="E159" s="807" t="s">
        <v>123</v>
      </c>
      <c r="F159" s="712"/>
      <c r="G159" s="712"/>
      <c r="H159" s="712"/>
      <c r="I159" s="712"/>
      <c r="J159" s="712"/>
      <c r="K159" s="787"/>
      <c r="L159" s="787"/>
      <c r="M159" s="787"/>
      <c r="N159" s="787"/>
      <c r="O159" s="787"/>
      <c r="P159" s="787"/>
      <c r="Q159" s="787"/>
      <c r="R159" s="787"/>
      <c r="S159" s="712"/>
      <c r="T159" s="712"/>
    </row>
    <row r="160" spans="1:20" s="752" customFormat="1">
      <c r="A160" s="712"/>
      <c r="B160" s="712"/>
      <c r="C160" s="803" t="s">
        <v>804</v>
      </c>
      <c r="D160" s="810">
        <f>+M214*(D158+D159)/100</f>
        <v>4959617.0225811163</v>
      </c>
      <c r="E160" s="807" t="s">
        <v>123</v>
      </c>
      <c r="F160" s="712"/>
      <c r="G160" s="712"/>
      <c r="H160" s="712"/>
      <c r="I160" s="712"/>
      <c r="J160" s="712"/>
      <c r="K160" s="787"/>
      <c r="L160" s="787"/>
      <c r="M160" s="787"/>
      <c r="N160" s="787"/>
      <c r="O160" s="787"/>
      <c r="P160" s="787"/>
      <c r="Q160" s="787"/>
      <c r="R160" s="787"/>
      <c r="S160" s="712"/>
      <c r="T160" s="712"/>
    </row>
    <row r="161" spans="1:20" s="752" customFormat="1" ht="15">
      <c r="A161" s="712"/>
      <c r="B161" s="712"/>
      <c r="C161" s="808" t="s">
        <v>805</v>
      </c>
      <c r="D161" s="809">
        <f>+D160+D159+D158</f>
        <v>104151957.47420344</v>
      </c>
      <c r="E161" s="807" t="s">
        <v>123</v>
      </c>
      <c r="F161" s="712"/>
      <c r="G161" s="712"/>
      <c r="H161" s="712"/>
      <c r="I161" s="712"/>
      <c r="J161" s="712"/>
      <c r="K161" s="787"/>
      <c r="L161" s="787"/>
      <c r="M161" s="787"/>
      <c r="N161" s="787"/>
      <c r="O161" s="787"/>
      <c r="P161" s="787"/>
      <c r="Q161" s="787"/>
      <c r="R161" s="787"/>
      <c r="S161" s="712"/>
      <c r="T161" s="712"/>
    </row>
    <row r="162" spans="1:20" s="752" customFormat="1">
      <c r="A162" s="712"/>
      <c r="B162" s="712"/>
      <c r="C162" s="803"/>
      <c r="D162" s="811"/>
      <c r="E162" s="849"/>
      <c r="F162" s="712"/>
      <c r="G162" s="712"/>
      <c r="H162" s="712"/>
      <c r="I162" s="712"/>
      <c r="J162" s="712"/>
      <c r="K162" s="787"/>
      <c r="L162" s="787"/>
      <c r="M162" s="787"/>
      <c r="N162" s="787"/>
      <c r="O162" s="787"/>
      <c r="P162" s="787"/>
      <c r="Q162" s="787"/>
      <c r="R162" s="787"/>
      <c r="S162" s="712"/>
      <c r="T162" s="712"/>
    </row>
    <row r="163" spans="1:20" s="752" customFormat="1">
      <c r="A163" s="712"/>
      <c r="B163" s="712"/>
      <c r="C163" s="803"/>
      <c r="D163" s="811"/>
      <c r="E163" s="804"/>
      <c r="F163" s="712"/>
      <c r="G163" s="712"/>
      <c r="H163" s="712"/>
      <c r="I163" s="712"/>
      <c r="J163" s="712"/>
      <c r="K163" s="787"/>
      <c r="L163" s="787"/>
      <c r="M163" s="787"/>
      <c r="N163" s="787"/>
      <c r="O163" s="787"/>
      <c r="P163" s="787"/>
      <c r="Q163" s="787"/>
      <c r="R163" s="787"/>
      <c r="S163" s="712"/>
      <c r="T163" s="712"/>
    </row>
    <row r="164" spans="1:20" s="752" customFormat="1" ht="15">
      <c r="A164" s="712"/>
      <c r="B164" s="712"/>
      <c r="C164" s="813" t="s">
        <v>34</v>
      </c>
      <c r="D164" s="814">
        <f>+D161*'Liquid fuels - emission calc.'!J5</f>
        <v>9367541.661020657</v>
      </c>
      <c r="E164" s="815" t="s">
        <v>877</v>
      </c>
      <c r="F164" s="712"/>
      <c r="G164" s="712"/>
      <c r="H164" s="712"/>
      <c r="I164" s="712"/>
      <c r="J164" s="712"/>
      <c r="K164" s="787"/>
      <c r="L164" s="787"/>
      <c r="M164" s="787"/>
      <c r="N164" s="787"/>
      <c r="O164" s="787"/>
      <c r="P164" s="787"/>
      <c r="Q164" s="787"/>
      <c r="R164" s="787"/>
      <c r="S164" s="712"/>
      <c r="T164" s="712"/>
    </row>
    <row r="165" spans="1:20" s="752" customFormat="1">
      <c r="A165" s="712"/>
      <c r="B165" s="712"/>
      <c r="C165" s="1176" t="s">
        <v>33</v>
      </c>
      <c r="D165" s="1177"/>
      <c r="E165" s="1178"/>
      <c r="F165" s="712"/>
      <c r="G165" s="712"/>
      <c r="H165" s="712"/>
      <c r="I165" s="712"/>
      <c r="J165" s="712"/>
      <c r="K165" s="787"/>
      <c r="L165" s="787"/>
      <c r="M165" s="787"/>
      <c r="N165" s="787"/>
      <c r="O165" s="787"/>
      <c r="P165" s="787"/>
      <c r="Q165" s="787"/>
      <c r="R165" s="787"/>
      <c r="S165" s="712"/>
      <c r="T165" s="712"/>
    </row>
    <row r="166" spans="1:20" s="752" customFormat="1" ht="15">
      <c r="A166" s="712"/>
      <c r="B166" s="712"/>
      <c r="C166" s="808" t="s">
        <v>30</v>
      </c>
      <c r="D166" s="810">
        <f>('Liquid fuels - emission calc.'!$D$20)^-0.297*0.1688*$D158</f>
        <v>1549262.3032234171</v>
      </c>
      <c r="E166" s="804" t="s">
        <v>877</v>
      </c>
      <c r="F166" s="1179" t="s">
        <v>887</v>
      </c>
      <c r="G166" s="1179"/>
      <c r="H166" s="712"/>
      <c r="I166" s="712"/>
      <c r="J166" s="712"/>
      <c r="K166" s="787"/>
      <c r="L166" s="787"/>
      <c r="M166" s="787"/>
      <c r="N166" s="787"/>
      <c r="O166" s="787"/>
      <c r="P166" s="712"/>
      <c r="Q166" s="712"/>
      <c r="R166" s="787"/>
      <c r="S166" s="712"/>
      <c r="T166" s="712"/>
    </row>
    <row r="167" spans="1:20" s="752" customFormat="1">
      <c r="A167" s="712"/>
      <c r="B167" s="712"/>
      <c r="C167" s="803"/>
      <c r="D167" s="818"/>
      <c r="E167" s="804"/>
      <c r="F167" s="712"/>
      <c r="G167" s="712"/>
      <c r="H167" s="712"/>
      <c r="I167" s="712"/>
      <c r="J167" s="712"/>
      <c r="K167" s="787"/>
      <c r="L167" s="787"/>
      <c r="M167" s="787"/>
      <c r="N167" s="787"/>
      <c r="O167" s="787"/>
      <c r="P167" s="712"/>
      <c r="Q167" s="712"/>
      <c r="R167" s="787"/>
      <c r="S167" s="712"/>
      <c r="T167" s="712"/>
    </row>
    <row r="168" spans="1:20" s="752" customFormat="1">
      <c r="A168" s="712"/>
      <c r="B168" s="712"/>
      <c r="C168" s="803"/>
      <c r="D168" s="821"/>
      <c r="E168" s="804"/>
      <c r="F168" s="712"/>
      <c r="G168" s="712"/>
      <c r="H168" s="712"/>
      <c r="I168" s="712"/>
      <c r="J168" s="712"/>
      <c r="K168" s="787"/>
      <c r="L168" s="787"/>
      <c r="M168" s="787"/>
      <c r="N168" s="787"/>
      <c r="O168" s="787"/>
      <c r="P168" s="712"/>
      <c r="Q168" s="712"/>
      <c r="R168" s="787"/>
      <c r="S168" s="712"/>
      <c r="T168" s="712"/>
    </row>
    <row r="169" spans="1:20" s="752" customFormat="1">
      <c r="A169" s="712"/>
      <c r="B169" s="712"/>
      <c r="C169" s="805" t="s">
        <v>809</v>
      </c>
      <c r="D169" s="822">
        <f>D13</f>
        <v>80</v>
      </c>
      <c r="E169" s="823" t="s">
        <v>910</v>
      </c>
      <c r="F169" s="712" t="s">
        <v>820</v>
      </c>
      <c r="G169" s="712"/>
      <c r="H169" s="712"/>
      <c r="I169" s="712"/>
      <c r="J169" s="712"/>
      <c r="K169" s="787"/>
      <c r="L169" s="787"/>
      <c r="M169" s="787"/>
      <c r="N169" s="787"/>
      <c r="O169" s="787"/>
      <c r="P169" s="712"/>
      <c r="Q169" s="712"/>
      <c r="R169" s="787"/>
      <c r="S169" s="712"/>
      <c r="T169" s="712"/>
    </row>
    <row r="170" spans="1:20" s="752" customFormat="1">
      <c r="A170" s="712"/>
      <c r="B170" s="712"/>
      <c r="C170" s="805" t="s">
        <v>1219</v>
      </c>
      <c r="D170" s="824">
        <f>+(6.3598*D$48/100-4.2339)/(D$12/100)</f>
        <v>1.3842036779266507</v>
      </c>
      <c r="E170" s="823" t="s">
        <v>911</v>
      </c>
      <c r="F170" s="712"/>
      <c r="G170" s="712"/>
      <c r="H170" s="712"/>
      <c r="I170" s="712"/>
      <c r="J170" s="712"/>
      <c r="K170" s="787"/>
      <c r="L170" s="787"/>
      <c r="M170" s="787"/>
      <c r="N170" s="787"/>
      <c r="O170" s="787"/>
      <c r="P170" s="712"/>
      <c r="Q170" s="712"/>
      <c r="R170" s="787"/>
      <c r="S170" s="712"/>
      <c r="T170" s="712"/>
    </row>
    <row r="171" spans="1:20" s="752" customFormat="1">
      <c r="A171" s="712"/>
      <c r="B171" s="712"/>
      <c r="C171" s="805" t="s">
        <v>810</v>
      </c>
      <c r="D171" s="825">
        <f>+D170*D$148</f>
        <v>22335.516441180178</v>
      </c>
      <c r="E171" s="823" t="s">
        <v>912</v>
      </c>
      <c r="F171" s="712"/>
      <c r="G171" s="712"/>
      <c r="H171" s="712"/>
      <c r="I171" s="712"/>
      <c r="J171" s="712"/>
      <c r="K171" s="787"/>
      <c r="L171" s="787"/>
      <c r="M171" s="787"/>
      <c r="N171" s="787"/>
      <c r="O171" s="787"/>
      <c r="P171" s="712"/>
      <c r="Q171" s="712"/>
      <c r="R171" s="787"/>
      <c r="S171" s="712"/>
      <c r="T171" s="712"/>
    </row>
    <row r="172" spans="1:20" s="752" customFormat="1" ht="15">
      <c r="A172" s="712"/>
      <c r="B172" s="712"/>
      <c r="C172" s="808" t="s">
        <v>811</v>
      </c>
      <c r="D172" s="810">
        <f>D171*D169</f>
        <v>1786841.3152944143</v>
      </c>
      <c r="E172" s="804" t="s">
        <v>877</v>
      </c>
      <c r="F172" s="712"/>
      <c r="G172" s="712"/>
      <c r="H172" s="712"/>
      <c r="I172" s="712"/>
      <c r="J172" s="712"/>
      <c r="K172" s="787"/>
      <c r="L172" s="787"/>
      <c r="M172" s="787"/>
      <c r="N172" s="787"/>
      <c r="O172" s="787"/>
      <c r="P172" s="712"/>
      <c r="Q172" s="712"/>
      <c r="R172" s="787"/>
      <c r="S172" s="712"/>
      <c r="T172" s="712"/>
    </row>
    <row r="173" spans="1:20" s="752" customFormat="1">
      <c r="A173" s="712"/>
      <c r="B173" s="712"/>
      <c r="C173" s="826" t="s">
        <v>808</v>
      </c>
      <c r="D173" s="827">
        <f>'Liquid fuels - emission calc.'!H$33</f>
        <v>60</v>
      </c>
      <c r="E173" s="823" t="s">
        <v>48</v>
      </c>
      <c r="F173" s="712"/>
      <c r="G173" s="712"/>
      <c r="H173" s="712"/>
      <c r="I173" s="712"/>
      <c r="J173" s="712"/>
      <c r="K173" s="787"/>
      <c r="L173" s="787"/>
      <c r="M173" s="787"/>
      <c r="N173" s="787"/>
      <c r="O173" s="787"/>
      <c r="P173" s="712"/>
      <c r="Q173" s="712"/>
      <c r="R173" s="787"/>
      <c r="S173" s="712"/>
      <c r="T173" s="712"/>
    </row>
    <row r="174" spans="1:20" s="752" customFormat="1">
      <c r="A174" s="712"/>
      <c r="B174" s="712"/>
      <c r="C174" s="826" t="s">
        <v>807</v>
      </c>
      <c r="D174" s="825">
        <f>IF(D147="Y",'Liquid fuels - emission calc.'!D$20*'Liquid fuels - emission calc.'!D$21/100*'Liquid fuels - emission calc.'!D$33/100*8760*(-0.039*'Liquid fuels - emission calc.'!D$21+2.6553)/100,0)</f>
        <v>47974.14</v>
      </c>
      <c r="E174" s="828" t="s">
        <v>892</v>
      </c>
      <c r="F174" s="712"/>
      <c r="G174" s="712"/>
      <c r="H174" s="712"/>
      <c r="I174" s="712"/>
      <c r="J174" s="712"/>
      <c r="K174" s="787"/>
      <c r="L174" s="787"/>
      <c r="M174" s="787"/>
      <c r="N174" s="787"/>
      <c r="O174" s="787"/>
      <c r="P174" s="712"/>
      <c r="Q174" s="712"/>
      <c r="R174" s="787"/>
      <c r="S174" s="712"/>
      <c r="T174" s="712"/>
    </row>
    <row r="175" spans="1:20" s="752" customFormat="1" ht="15">
      <c r="A175" s="712"/>
      <c r="B175" s="712"/>
      <c r="C175" s="829" t="s">
        <v>1006</v>
      </c>
      <c r="D175" s="810">
        <f>+IF(D147="Y",D174*D173,0)</f>
        <v>2878448.4</v>
      </c>
      <c r="E175" s="804" t="s">
        <v>877</v>
      </c>
      <c r="F175" s="712"/>
      <c r="G175" s="712"/>
      <c r="H175" s="712"/>
      <c r="I175" s="712"/>
      <c r="J175" s="712"/>
      <c r="K175" s="787"/>
      <c r="L175" s="787"/>
      <c r="M175" s="787"/>
      <c r="N175" s="787"/>
      <c r="O175" s="787"/>
      <c r="P175" s="712"/>
      <c r="Q175" s="712"/>
      <c r="R175" s="787"/>
      <c r="S175" s="712"/>
      <c r="T175" s="712"/>
    </row>
    <row r="176" spans="1:20" s="752" customFormat="1">
      <c r="A176" s="712"/>
      <c r="B176" s="712"/>
      <c r="C176" s="830" t="s">
        <v>893</v>
      </c>
      <c r="D176" s="831">
        <f>+IF(D$149="Y",D$23,D$24)</f>
        <v>20</v>
      </c>
      <c r="E176" s="823" t="s">
        <v>894</v>
      </c>
      <c r="F176" s="1179" t="s">
        <v>895</v>
      </c>
      <c r="G176" s="1179"/>
      <c r="H176" s="712"/>
      <c r="I176" s="712"/>
      <c r="J176" s="712"/>
      <c r="K176" s="787"/>
      <c r="L176" s="787"/>
      <c r="M176" s="787"/>
      <c r="N176" s="787"/>
      <c r="O176" s="787"/>
      <c r="P176" s="712"/>
      <c r="Q176" s="712"/>
      <c r="R176" s="787"/>
      <c r="S176" s="712"/>
      <c r="T176" s="712"/>
    </row>
    <row r="177" spans="1:20" s="752" customFormat="1">
      <c r="A177" s="712"/>
      <c r="B177" s="712"/>
      <c r="C177" s="830" t="s">
        <v>896</v>
      </c>
      <c r="D177" s="832">
        <f>D170*((100-D$12)/100+D$12/100*2.366)</f>
        <v>3.1993930130125432</v>
      </c>
      <c r="E177" s="823" t="s">
        <v>897</v>
      </c>
      <c r="F177" s="712"/>
      <c r="G177" s="712"/>
      <c r="H177" s="712"/>
      <c r="I177" s="712"/>
      <c r="J177" s="712"/>
      <c r="K177" s="787"/>
      <c r="L177" s="787"/>
      <c r="M177" s="787"/>
      <c r="N177" s="787"/>
      <c r="O177" s="787"/>
      <c r="P177" s="712"/>
      <c r="Q177" s="712"/>
      <c r="R177" s="787"/>
      <c r="S177" s="712"/>
      <c r="T177" s="712"/>
    </row>
    <row r="178" spans="1:20">
      <c r="C178" s="803" t="s">
        <v>898</v>
      </c>
      <c r="D178" s="834">
        <f>D177*D148</f>
        <v>51625.419281486211</v>
      </c>
      <c r="E178" s="823" t="s">
        <v>963</v>
      </c>
      <c r="K178" s="787"/>
      <c r="L178" s="787"/>
      <c r="M178" s="787"/>
    </row>
    <row r="179" spans="1:20" ht="15">
      <c r="C179" s="808" t="s">
        <v>899</v>
      </c>
      <c r="D179" s="810">
        <f>D178*D176</f>
        <v>1032508.3856297242</v>
      </c>
      <c r="E179" s="804" t="s">
        <v>877</v>
      </c>
    </row>
    <row r="180" spans="1:20">
      <c r="C180" s="723"/>
      <c r="D180" s="835"/>
      <c r="E180" s="727"/>
    </row>
    <row r="181" spans="1:20" ht="15">
      <c r="C181" s="813" t="s">
        <v>900</v>
      </c>
      <c r="D181" s="814">
        <f>+D166+D172+D175+D179</f>
        <v>7247060.4041475561</v>
      </c>
      <c r="E181" s="815" t="s">
        <v>877</v>
      </c>
      <c r="F181" s="1180"/>
    </row>
    <row r="182" spans="1:20" ht="15">
      <c r="C182" s="829"/>
      <c r="D182" s="836"/>
      <c r="E182" s="837"/>
      <c r="F182" s="1180"/>
    </row>
    <row r="183" spans="1:20" ht="15">
      <c r="C183" s="1167" t="s">
        <v>913</v>
      </c>
      <c r="D183" s="1168"/>
      <c r="E183" s="1169"/>
      <c r="F183" s="1180"/>
    </row>
    <row r="184" spans="1:20" ht="15">
      <c r="C184" s="813" t="s">
        <v>902</v>
      </c>
      <c r="D184" s="814">
        <f>D148</f>
        <v>16136.004258156394</v>
      </c>
      <c r="E184" s="815" t="s">
        <v>873</v>
      </c>
      <c r="F184" s="1180"/>
    </row>
    <row r="185" spans="1:20" ht="16.5">
      <c r="C185" s="813" t="s">
        <v>1045</v>
      </c>
      <c r="D185" s="814">
        <f>D$47</f>
        <v>200</v>
      </c>
      <c r="E185" s="838" t="s">
        <v>1243</v>
      </c>
      <c r="F185" s="1180"/>
    </row>
    <row r="186" spans="1:20" ht="16.5">
      <c r="C186" s="813" t="s">
        <v>1046</v>
      </c>
      <c r="D186" s="814">
        <f>D$43</f>
        <v>1595.8056708912638</v>
      </c>
      <c r="E186" s="838" t="s">
        <v>1243</v>
      </c>
      <c r="F186" s="1180"/>
    </row>
    <row r="187" spans="1:20" ht="15">
      <c r="C187" s="813" t="s">
        <v>905</v>
      </c>
      <c r="D187" s="850">
        <f>(1-D185/D186)*100</f>
        <v>87.467145677687739</v>
      </c>
      <c r="E187" s="815" t="s">
        <v>87</v>
      </c>
      <c r="F187" s="1180"/>
    </row>
    <row r="188" spans="1:20" ht="15">
      <c r="C188" s="813" t="s">
        <v>906</v>
      </c>
      <c r="D188" s="814">
        <f>+D161</f>
        <v>104151957.47420344</v>
      </c>
      <c r="E188" s="815" t="s">
        <v>123</v>
      </c>
    </row>
    <row r="189" spans="1:20" ht="15">
      <c r="C189" s="813" t="s">
        <v>879</v>
      </c>
      <c r="D189" s="814">
        <f>D181+D164</f>
        <v>16614602.065168213</v>
      </c>
      <c r="E189" s="815" t="s">
        <v>877</v>
      </c>
    </row>
    <row r="190" spans="1:20" ht="15">
      <c r="C190" s="813" t="s">
        <v>814</v>
      </c>
      <c r="D190" s="814">
        <f>+IF(D147="Y",D189/D148,0)</f>
        <v>1029.6602429792927</v>
      </c>
      <c r="E190" s="815" t="s">
        <v>907</v>
      </c>
    </row>
    <row r="191" spans="1:20" ht="15">
      <c r="C191" s="813" t="s">
        <v>908</v>
      </c>
      <c r="D191" s="814">
        <f>+D161/('Liquid fuels - emission calc.'!D20*1000)</f>
        <v>83.321565979362745</v>
      </c>
      <c r="E191" s="815" t="s">
        <v>303</v>
      </c>
    </row>
    <row r="192" spans="1:20" ht="15">
      <c r="C192" s="813" t="s">
        <v>813</v>
      </c>
      <c r="D192" s="841">
        <f>+D174/('Liquid fuels - emission calc.'!D20*'Liquid fuels - emission calc.'!D21/100*'Liquid fuels - emission calc.'!D33/100*8760)*100</f>
        <v>1.0952999999999999</v>
      </c>
      <c r="E192" s="815" t="s">
        <v>87</v>
      </c>
    </row>
    <row r="193" spans="3:5" ht="15">
      <c r="C193" s="794" t="s">
        <v>815</v>
      </c>
      <c r="D193" s="843">
        <f>IF(D189&gt;0,D$164/D189,"n/a")</f>
        <v>0.56381378406042593</v>
      </c>
      <c r="E193" s="844"/>
    </row>
    <row r="194" spans="3:5" ht="15.75" thickBot="1">
      <c r="C194" s="798" t="s">
        <v>816</v>
      </c>
      <c r="D194" s="845">
        <f>IF(D189&gt;0,D181/D189,"n/a")</f>
        <v>0.43618621593957413</v>
      </c>
      <c r="E194" s="846"/>
    </row>
    <row r="195" spans="3:5">
      <c r="C195" s="723"/>
      <c r="D195" s="724"/>
      <c r="E195" s="727"/>
    </row>
    <row r="196" spans="3:5" ht="15">
      <c r="C196" s="1167" t="s">
        <v>914</v>
      </c>
      <c r="D196" s="1168"/>
      <c r="E196" s="1169"/>
    </row>
    <row r="197" spans="3:5" ht="15">
      <c r="C197" s="813" t="s">
        <v>902</v>
      </c>
      <c r="D197" s="814">
        <f>+D148+D$73</f>
        <v>16136.004258156394</v>
      </c>
      <c r="E197" s="815" t="s">
        <v>873</v>
      </c>
    </row>
    <row r="198" spans="3:5" ht="16.5">
      <c r="C198" s="813" t="s">
        <v>903</v>
      </c>
      <c r="D198" s="814">
        <f>+D$119</f>
        <v>200</v>
      </c>
      <c r="E198" s="838" t="s">
        <v>1243</v>
      </c>
    </row>
    <row r="199" spans="3:5" ht="16.5">
      <c r="C199" s="813" t="s">
        <v>904</v>
      </c>
      <c r="D199" s="814">
        <f>+'Solid fuels - emission calc.'!J$106</f>
        <v>1311.4710348484239</v>
      </c>
      <c r="E199" s="838" t="s">
        <v>1243</v>
      </c>
    </row>
    <row r="200" spans="3:5" ht="15">
      <c r="C200" s="813" t="s">
        <v>905</v>
      </c>
      <c r="D200" s="814">
        <f>(1-D198/D199)*100</f>
        <v>84.74994912692712</v>
      </c>
      <c r="E200" s="815" t="s">
        <v>87</v>
      </c>
    </row>
    <row r="201" spans="3:5" ht="15">
      <c r="C201" s="813" t="s">
        <v>906</v>
      </c>
      <c r="D201" s="814">
        <f>+D161</f>
        <v>104151957.47420344</v>
      </c>
      <c r="E201" s="815" t="s">
        <v>123</v>
      </c>
    </row>
    <row r="202" spans="3:5" ht="15">
      <c r="C202" s="813" t="s">
        <v>879</v>
      </c>
      <c r="D202" s="814">
        <f>+D181+D164+D$79</f>
        <v>16614602.065168213</v>
      </c>
      <c r="E202" s="815" t="s">
        <v>877</v>
      </c>
    </row>
    <row r="203" spans="3:5" ht="15">
      <c r="C203" s="813" t="s">
        <v>814</v>
      </c>
      <c r="D203" s="814">
        <f>+IF(D147="Y",D202/D197,0)</f>
        <v>1029.6602429792927</v>
      </c>
      <c r="E203" s="815" t="s">
        <v>907</v>
      </c>
    </row>
    <row r="204" spans="3:5" ht="15">
      <c r="C204" s="813" t="s">
        <v>908</v>
      </c>
      <c r="D204" s="814">
        <f>+D191</f>
        <v>83.321565979362745</v>
      </c>
      <c r="E204" s="815" t="s">
        <v>303</v>
      </c>
    </row>
    <row r="205" spans="3:5" ht="15">
      <c r="C205" s="813" t="s">
        <v>813</v>
      </c>
      <c r="D205" s="841">
        <f>+D192</f>
        <v>1.0952999999999999</v>
      </c>
      <c r="E205" s="815" t="s">
        <v>87</v>
      </c>
    </row>
    <row r="206" spans="3:5" ht="15">
      <c r="C206" s="794" t="s">
        <v>815</v>
      </c>
      <c r="D206" s="843">
        <f>IF(D202&gt;0,D164/D202,"n/a")</f>
        <v>0.56381378406042593</v>
      </c>
      <c r="E206" s="844"/>
    </row>
    <row r="207" spans="3:5" ht="15.75" thickBot="1">
      <c r="C207" s="798" t="s">
        <v>816</v>
      </c>
      <c r="D207" s="845">
        <f>IF(D202&gt;0,(D181+D79)/D202,"n/a")</f>
        <v>0.43618621593957413</v>
      </c>
      <c r="E207" s="846"/>
    </row>
    <row r="209" spans="3:13" ht="15" thickBot="1"/>
    <row r="210" spans="3:13" ht="15">
      <c r="C210" s="1173" t="s">
        <v>996</v>
      </c>
      <c r="D210" s="1174"/>
      <c r="E210" s="1175"/>
    </row>
    <row r="211" spans="3:13" ht="15" thickBot="1">
      <c r="C211" s="801" t="s">
        <v>1042</v>
      </c>
      <c r="D211" s="802" t="str">
        <f>+D46</f>
        <v>Y</v>
      </c>
      <c r="E211" s="743" t="s">
        <v>85</v>
      </c>
    </row>
    <row r="212" spans="3:13">
      <c r="C212" s="803" t="s">
        <v>794</v>
      </c>
      <c r="D212" s="788">
        <f>+IF(D211="Y",'Liquid fuels - emission calc.'!D$20*3.6*'Liquid fuels - emission calc.'!D$33/100*8760*(M$66/1000)*(D$48/100),0)</f>
        <v>16136.004258156394</v>
      </c>
      <c r="E212" s="804" t="s">
        <v>873</v>
      </c>
      <c r="J212" s="852"/>
      <c r="K212" s="853"/>
      <c r="L212" s="853"/>
      <c r="M212" s="854" t="s">
        <v>915</v>
      </c>
    </row>
    <row r="213" spans="3:13">
      <c r="C213" s="803" t="s">
        <v>881</v>
      </c>
      <c r="D213" s="581" t="s">
        <v>95</v>
      </c>
      <c r="E213" s="804" t="s">
        <v>882</v>
      </c>
      <c r="J213" s="723"/>
      <c r="K213" s="724"/>
      <c r="L213" s="724"/>
      <c r="M213" s="727">
        <v>30</v>
      </c>
    </row>
    <row r="214" spans="3:13">
      <c r="C214" s="1176" t="s">
        <v>58</v>
      </c>
      <c r="D214" s="1177"/>
      <c r="E214" s="1178"/>
      <c r="J214" s="723"/>
      <c r="K214" s="724"/>
      <c r="L214" s="724"/>
      <c r="M214" s="727">
        <v>5</v>
      </c>
    </row>
    <row r="215" spans="3:13">
      <c r="C215" s="805" t="s">
        <v>998</v>
      </c>
      <c r="D215" s="806">
        <f>IF(D211="Y",'Liquid fuel_Fabric_Filter DSI'!D86,0)</f>
        <v>43404493.717506438</v>
      </c>
      <c r="E215" s="807" t="s">
        <v>123</v>
      </c>
      <c r="J215" s="723"/>
      <c r="K215" s="724"/>
      <c r="L215" s="724"/>
      <c r="M215" s="727"/>
    </row>
    <row r="216" spans="3:13">
      <c r="C216" s="805" t="s">
        <v>1202</v>
      </c>
      <c r="D216" s="806">
        <f>0.3*D215</f>
        <v>13021348.11525193</v>
      </c>
      <c r="E216" s="807" t="s">
        <v>123</v>
      </c>
      <c r="J216" s="723" t="s">
        <v>916</v>
      </c>
      <c r="K216" s="749"/>
      <c r="L216" s="724"/>
      <c r="M216" s="855">
        <v>2.5</v>
      </c>
    </row>
    <row r="217" spans="3:13" ht="15">
      <c r="C217" s="813" t="s">
        <v>999</v>
      </c>
      <c r="D217" s="814">
        <f>+D216+D215</f>
        <v>56425841.832758367</v>
      </c>
      <c r="E217" s="856" t="s">
        <v>123</v>
      </c>
    </row>
    <row r="218" spans="3:13">
      <c r="C218" s="803"/>
      <c r="D218" s="818"/>
      <c r="E218" s="807"/>
    </row>
    <row r="219" spans="3:13">
      <c r="C219" s="803"/>
      <c r="D219" s="818"/>
      <c r="E219" s="807"/>
    </row>
    <row r="220" spans="3:13" ht="15">
      <c r="C220" s="808"/>
      <c r="D220" s="857"/>
      <c r="E220" s="807"/>
    </row>
    <row r="221" spans="3:13">
      <c r="C221" s="803"/>
      <c r="D221" s="811"/>
      <c r="E221" s="812"/>
    </row>
    <row r="222" spans="3:13">
      <c r="C222" s="803"/>
      <c r="D222" s="811"/>
      <c r="E222" s="804"/>
    </row>
    <row r="223" spans="3:13" ht="15">
      <c r="C223" s="813" t="s">
        <v>34</v>
      </c>
      <c r="D223" s="814">
        <f>+D217*'Solid fuels - emission calc.'!J5</f>
        <v>5075002.3037967747</v>
      </c>
      <c r="E223" s="815" t="s">
        <v>877</v>
      </c>
    </row>
    <row r="224" spans="3:13">
      <c r="C224" s="1176" t="s">
        <v>33</v>
      </c>
      <c r="D224" s="1177"/>
      <c r="E224" s="1178"/>
    </row>
    <row r="225" spans="3:5" ht="15">
      <c r="C225" s="808" t="s">
        <v>30</v>
      </c>
      <c r="D225" s="810">
        <f>IF(D211="Y",D217*'Liquid fuels - emission calc.'!$G$4,0)</f>
        <v>1128516.8366551674</v>
      </c>
      <c r="E225" s="804" t="s">
        <v>877</v>
      </c>
    </row>
    <row r="226" spans="3:5">
      <c r="C226" s="803"/>
      <c r="D226" s="818"/>
      <c r="E226" s="804"/>
    </row>
    <row r="227" spans="3:5">
      <c r="C227" s="803"/>
      <c r="D227" s="821"/>
      <c r="E227" s="804"/>
    </row>
    <row r="228" spans="3:5">
      <c r="C228" s="805" t="s">
        <v>809</v>
      </c>
      <c r="D228" s="822">
        <f>+D15</f>
        <v>80</v>
      </c>
      <c r="E228" s="823" t="s">
        <v>910</v>
      </c>
    </row>
    <row r="229" spans="3:5">
      <c r="C229" s="805" t="s">
        <v>1219</v>
      </c>
      <c r="D229" s="824">
        <f>+(6.5625*D$48/100-1.2396)/(D$14/100)</f>
        <v>4.6879494115606857</v>
      </c>
      <c r="E229" s="823" t="s">
        <v>911</v>
      </c>
    </row>
    <row r="230" spans="3:5">
      <c r="C230" s="805" t="s">
        <v>810</v>
      </c>
      <c r="D230" s="825">
        <f>+IF(D211="Y",D229*D212,0)</f>
        <v>75644.771666964982</v>
      </c>
      <c r="E230" s="823" t="s">
        <v>912</v>
      </c>
    </row>
    <row r="231" spans="3:5" ht="15">
      <c r="C231" s="808" t="s">
        <v>811</v>
      </c>
      <c r="D231" s="810">
        <f>D230*D228</f>
        <v>6051581.7333571985</v>
      </c>
      <c r="E231" s="804" t="s">
        <v>877</v>
      </c>
    </row>
    <row r="232" spans="3:5">
      <c r="C232" s="826" t="s">
        <v>808</v>
      </c>
      <c r="D232" s="827">
        <f>'Liquid fuels - emission calc.'!H$33</f>
        <v>60</v>
      </c>
      <c r="E232" s="823" t="s">
        <v>48</v>
      </c>
    </row>
    <row r="233" spans="3:5">
      <c r="C233" s="826" t="s">
        <v>807</v>
      </c>
      <c r="D233" s="825">
        <f>IF(D211="Y",'Liquid fuel_Fabric_Filter DSI'!D98/D232,0)</f>
        <v>34804.854544301335</v>
      </c>
      <c r="E233" s="828" t="s">
        <v>892</v>
      </c>
    </row>
    <row r="234" spans="3:5" ht="15">
      <c r="C234" s="829" t="s">
        <v>1005</v>
      </c>
      <c r="D234" s="810">
        <f>+D233*D232</f>
        <v>2088291.2726580801</v>
      </c>
      <c r="E234" s="804" t="s">
        <v>877</v>
      </c>
    </row>
    <row r="235" spans="3:5">
      <c r="C235" s="830" t="s">
        <v>893</v>
      </c>
      <c r="D235" s="831">
        <f>+IF(D$213="Y",D$27,D$28)</f>
        <v>40</v>
      </c>
      <c r="E235" s="823" t="s">
        <v>894</v>
      </c>
    </row>
    <row r="236" spans="3:5">
      <c r="C236" s="830" t="s">
        <v>896</v>
      </c>
      <c r="D236" s="832">
        <f>D229*((100-D$12)/100+D$12/100*2.366)</f>
        <v>10.835538751904906</v>
      </c>
      <c r="E236" s="823" t="s">
        <v>897</v>
      </c>
    </row>
    <row r="237" spans="3:5">
      <c r="C237" s="803" t="s">
        <v>898</v>
      </c>
      <c r="D237" s="834">
        <f>IF(D211="Y",D236*D212,0)</f>
        <v>174842.29944015617</v>
      </c>
      <c r="E237" s="823" t="s">
        <v>1003</v>
      </c>
    </row>
    <row r="238" spans="3:5">
      <c r="C238" s="803" t="s">
        <v>1001</v>
      </c>
      <c r="D238" s="834">
        <f>IF(D211="Y",D237*'Liquid fuel_Fabric_Filter DSI'!D13/100,0)</f>
        <v>174726.69592460481</v>
      </c>
      <c r="E238" s="823" t="s">
        <v>1004</v>
      </c>
    </row>
    <row r="239" spans="3:5">
      <c r="C239" s="803" t="s">
        <v>1002</v>
      </c>
      <c r="D239" s="834">
        <f>D237/M61*M63*1000000000</f>
        <v>15124.306437070909</v>
      </c>
      <c r="E239" s="823" t="s">
        <v>997</v>
      </c>
    </row>
    <row r="240" spans="3:5" ht="15">
      <c r="C240" s="808" t="s">
        <v>987</v>
      </c>
      <c r="D240" s="810">
        <f>D238*D235</f>
        <v>6989067.836984192</v>
      </c>
      <c r="E240" s="804" t="s">
        <v>877</v>
      </c>
    </row>
    <row r="241" spans="3:5" ht="15">
      <c r="C241" s="829" t="s">
        <v>1007</v>
      </c>
      <c r="D241" s="810">
        <f>+IF(D211="Y",'Solid fuel_Fabric_Filter DSI '!D99,0)</f>
        <v>1835123.1775374929</v>
      </c>
      <c r="E241" s="804" t="s">
        <v>877</v>
      </c>
    </row>
    <row r="242" spans="3:5" ht="15">
      <c r="C242" s="813" t="s">
        <v>900</v>
      </c>
      <c r="D242" s="814">
        <f>+D225+D231+D234+D240+D241</f>
        <v>18092580.857192133</v>
      </c>
      <c r="E242" s="815" t="s">
        <v>877</v>
      </c>
    </row>
    <row r="243" spans="3:5" ht="15">
      <c r="C243" s="829"/>
      <c r="D243" s="836"/>
      <c r="E243" s="837"/>
    </row>
    <row r="244" spans="3:5" ht="15">
      <c r="C244" s="1167" t="s">
        <v>1009</v>
      </c>
      <c r="D244" s="1168"/>
      <c r="E244" s="1169"/>
    </row>
    <row r="245" spans="3:5" ht="15">
      <c r="C245" s="813" t="s">
        <v>902</v>
      </c>
      <c r="D245" s="814">
        <f>D212</f>
        <v>16136.004258156394</v>
      </c>
      <c r="E245" s="815" t="s">
        <v>873</v>
      </c>
    </row>
    <row r="246" spans="3:5" ht="16.5">
      <c r="C246" s="813" t="s">
        <v>1045</v>
      </c>
      <c r="D246" s="814">
        <f>D$47</f>
        <v>200</v>
      </c>
      <c r="E246" s="838" t="s">
        <v>1243</v>
      </c>
    </row>
    <row r="247" spans="3:5" ht="16.5">
      <c r="C247" s="813" t="s">
        <v>1046</v>
      </c>
      <c r="D247" s="814">
        <f>D$43</f>
        <v>1595.8056708912638</v>
      </c>
      <c r="E247" s="838" t="s">
        <v>1243</v>
      </c>
    </row>
    <row r="248" spans="3:5" ht="15">
      <c r="C248" s="813" t="s">
        <v>1008</v>
      </c>
      <c r="D248" s="850">
        <f>(1-D246/D247)*100</f>
        <v>87.467145677687739</v>
      </c>
      <c r="E248" s="815" t="s">
        <v>87</v>
      </c>
    </row>
    <row r="249" spans="3:5" ht="15">
      <c r="C249" s="813" t="s">
        <v>906</v>
      </c>
      <c r="D249" s="814">
        <f>+D217</f>
        <v>56425841.832758367</v>
      </c>
      <c r="E249" s="815" t="s">
        <v>123</v>
      </c>
    </row>
    <row r="250" spans="3:5" ht="15">
      <c r="C250" s="813" t="s">
        <v>879</v>
      </c>
      <c r="D250" s="814">
        <f>D242+D223</f>
        <v>23167583.160988908</v>
      </c>
      <c r="E250" s="815" t="s">
        <v>877</v>
      </c>
    </row>
    <row r="251" spans="3:5" ht="15">
      <c r="C251" s="813" t="s">
        <v>814</v>
      </c>
      <c r="D251" s="814">
        <f>+IF(D211="Y",D250/D212,0)</f>
        <v>1435.769524495397</v>
      </c>
      <c r="E251" s="815" t="s">
        <v>907</v>
      </c>
    </row>
    <row r="252" spans="3:5" ht="15">
      <c r="C252" s="813" t="s">
        <v>908</v>
      </c>
      <c r="D252" s="814">
        <f>+D217/('Liquid fuels - emission calc.'!D20*1000)</f>
        <v>45.140673466206692</v>
      </c>
      <c r="E252" s="815" t="s">
        <v>303</v>
      </c>
    </row>
    <row r="253" spans="3:5" ht="15">
      <c r="C253" s="813" t="s">
        <v>813</v>
      </c>
      <c r="D253" s="841">
        <f>+D233/('Liquid fuels - emission calc.'!D20*'Liquid fuels - emission calc.'!D21/100*'Liquid fuels - emission calc.'!D33/100*8760)*100</f>
        <v>0.79463138228998487</v>
      </c>
      <c r="E253" s="815" t="s">
        <v>87</v>
      </c>
    </row>
    <row r="254" spans="3:5" ht="15">
      <c r="C254" s="794" t="s">
        <v>815</v>
      </c>
      <c r="D254" s="843">
        <f>IF(D250&gt;0,D223/D250,"n/a")</f>
        <v>0.21905618158489643</v>
      </c>
      <c r="E254" s="844"/>
    </row>
    <row r="255" spans="3:5" ht="15">
      <c r="C255" s="794" t="s">
        <v>816</v>
      </c>
      <c r="D255" s="843">
        <f>IF(D250&gt;0,D242/D250,"n/a")</f>
        <v>0.78094381841510352</v>
      </c>
      <c r="E255" s="844"/>
    </row>
    <row r="256" spans="3:5">
      <c r="C256" s="723"/>
      <c r="D256" s="724"/>
      <c r="E256" s="727"/>
    </row>
    <row r="257" spans="3:5" ht="15">
      <c r="C257" s="1167" t="s">
        <v>1015</v>
      </c>
      <c r="D257" s="1168"/>
      <c r="E257" s="1169"/>
    </row>
    <row r="258" spans="3:5" ht="15">
      <c r="C258" s="813" t="s">
        <v>902</v>
      </c>
      <c r="D258" s="814">
        <f>+D212+D$73</f>
        <v>16136.004258156394</v>
      </c>
      <c r="E258" s="815" t="s">
        <v>873</v>
      </c>
    </row>
    <row r="259" spans="3:5" ht="16.5">
      <c r="C259" s="813" t="s">
        <v>1045</v>
      </c>
      <c r="D259" s="814">
        <f>+D$119</f>
        <v>200</v>
      </c>
      <c r="E259" s="838" t="s">
        <v>1243</v>
      </c>
    </row>
    <row r="260" spans="3:5" ht="16.5">
      <c r="C260" s="813" t="s">
        <v>1046</v>
      </c>
      <c r="D260" s="814">
        <f>+'Solid fuels - emission calc.'!J$106</f>
        <v>1311.4710348484239</v>
      </c>
      <c r="E260" s="838" t="s">
        <v>1243</v>
      </c>
    </row>
    <row r="261" spans="3:5" ht="15">
      <c r="C261" s="813" t="s">
        <v>905</v>
      </c>
      <c r="D261" s="850">
        <f>(1-D259/D260)*100</f>
        <v>84.74994912692712</v>
      </c>
      <c r="E261" s="815" t="s">
        <v>87</v>
      </c>
    </row>
    <row r="262" spans="3:5" ht="15">
      <c r="C262" s="813" t="s">
        <v>906</v>
      </c>
      <c r="D262" s="814">
        <f>+D217</f>
        <v>56425841.832758367</v>
      </c>
      <c r="E262" s="815" t="s">
        <v>123</v>
      </c>
    </row>
    <row r="263" spans="3:5" ht="15">
      <c r="C263" s="813" t="s">
        <v>879</v>
      </c>
      <c r="D263" s="814">
        <f>+D242+D223+D$79</f>
        <v>23167583.160988908</v>
      </c>
      <c r="E263" s="815" t="s">
        <v>877</v>
      </c>
    </row>
    <row r="264" spans="3:5" ht="15">
      <c r="C264" s="813" t="s">
        <v>814</v>
      </c>
      <c r="D264" s="814">
        <f>IF(D211="Y",+D263/D258,0)</f>
        <v>1435.769524495397</v>
      </c>
      <c r="E264" s="815" t="s">
        <v>907</v>
      </c>
    </row>
    <row r="265" spans="3:5" ht="15">
      <c r="C265" s="813" t="s">
        <v>908</v>
      </c>
      <c r="D265" s="814">
        <f>+D252</f>
        <v>45.140673466206692</v>
      </c>
      <c r="E265" s="815" t="s">
        <v>303</v>
      </c>
    </row>
    <row r="266" spans="3:5" ht="15">
      <c r="C266" s="813" t="s">
        <v>813</v>
      </c>
      <c r="D266" s="841">
        <f>+D253</f>
        <v>0.79463138228998487</v>
      </c>
      <c r="E266" s="815" t="s">
        <v>87</v>
      </c>
    </row>
    <row r="267" spans="3:5" ht="15">
      <c r="C267" s="794" t="s">
        <v>815</v>
      </c>
      <c r="D267" s="843">
        <f>IF(D263&gt;0,D223/D263,"n/a")</f>
        <v>0.21905618158489643</v>
      </c>
      <c r="E267" s="844"/>
    </row>
    <row r="268" spans="3:5" ht="15.75" thickBot="1">
      <c r="C268" s="798" t="s">
        <v>816</v>
      </c>
      <c r="D268" s="845">
        <f>IF(D263&gt;0,(D242+D79)/D263,"n/a")</f>
        <v>0.78094381841510352</v>
      </c>
      <c r="E268" s="846"/>
    </row>
  </sheetData>
  <mergeCells count="36">
    <mergeCell ref="C5:E5"/>
    <mergeCell ref="N6:O6"/>
    <mergeCell ref="C9:E9"/>
    <mergeCell ref="N19:P19"/>
    <mergeCell ref="R19:T19"/>
    <mergeCell ref="N41:O41"/>
    <mergeCell ref="R41:T41"/>
    <mergeCell ref="C42:E42"/>
    <mergeCell ref="N49:P49"/>
    <mergeCell ref="C33:E33"/>
    <mergeCell ref="D53:E53"/>
    <mergeCell ref="L53:N53"/>
    <mergeCell ref="C146:E146"/>
    <mergeCell ref="C72:E72"/>
    <mergeCell ref="C83:E83"/>
    <mergeCell ref="N86:P86"/>
    <mergeCell ref="C87:E87"/>
    <mergeCell ref="C99:E99"/>
    <mergeCell ref="N99:O99"/>
    <mergeCell ref="F100:G100"/>
    <mergeCell ref="F110:G110"/>
    <mergeCell ref="F115:F121"/>
    <mergeCell ref="C117:E117"/>
    <mergeCell ref="C130:E130"/>
    <mergeCell ref="C257:E257"/>
    <mergeCell ref="C153:E153"/>
    <mergeCell ref="C165:E165"/>
    <mergeCell ref="F166:G166"/>
    <mergeCell ref="F176:G176"/>
    <mergeCell ref="F181:F187"/>
    <mergeCell ref="C183:E183"/>
    <mergeCell ref="C196:E196"/>
    <mergeCell ref="C210:E210"/>
    <mergeCell ref="C214:E214"/>
    <mergeCell ref="C224:E224"/>
    <mergeCell ref="C244:E244"/>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dimension ref="A2:V148"/>
  <sheetViews>
    <sheetView topLeftCell="A31" workbookViewId="0">
      <selection activeCell="D42" sqref="D42"/>
    </sheetView>
  </sheetViews>
  <sheetFormatPr baseColWidth="10" defaultRowHeight="15"/>
  <cols>
    <col min="1" max="2" width="11.42578125" style="702"/>
    <col min="3" max="3" width="44.7109375" style="702" customWidth="1"/>
    <col min="4" max="4" width="21.42578125" style="702" customWidth="1"/>
    <col min="5" max="5" width="20.85546875" style="702" customWidth="1"/>
    <col min="6" max="6" width="15.5703125" style="702" bestFit="1" customWidth="1"/>
    <col min="7" max="7" width="10" style="702" bestFit="1" customWidth="1"/>
    <col min="8" max="8" width="4.28515625" style="702" customWidth="1"/>
    <col min="9" max="13" width="11.42578125" style="702"/>
    <col min="14" max="14" width="36.42578125" style="702" customWidth="1"/>
    <col min="15" max="15" width="41.7109375" style="702" customWidth="1"/>
    <col min="16" max="16" width="19.28515625" style="702" customWidth="1"/>
    <col min="17" max="17" width="11.42578125" style="702"/>
    <col min="18" max="18" width="27" style="702" bestFit="1" customWidth="1"/>
    <col min="19" max="19" width="27.85546875" style="702" bestFit="1" customWidth="1"/>
    <col min="20" max="16384" width="11.42578125" style="702"/>
  </cols>
  <sheetData>
    <row r="2" spans="1:22" ht="27.75">
      <c r="A2" s="708"/>
      <c r="B2" s="708"/>
      <c r="C2" s="709" t="s">
        <v>692</v>
      </c>
      <c r="D2" s="710"/>
      <c r="E2" s="710"/>
      <c r="F2" s="710"/>
      <c r="G2" s="710"/>
      <c r="H2" s="710"/>
      <c r="I2" s="710"/>
      <c r="J2" s="710"/>
      <c r="K2" s="710"/>
      <c r="L2" s="710"/>
      <c r="M2" s="710"/>
      <c r="N2" s="709" t="str">
        <f>C2&amp;" - Reference Boxes"</f>
        <v>Bottom up approach to define total filtration area - Reference Boxes</v>
      </c>
      <c r="O2" s="710"/>
      <c r="P2" s="710"/>
      <c r="Q2" s="710"/>
      <c r="R2" s="708"/>
      <c r="S2" s="711"/>
      <c r="T2" s="708"/>
      <c r="U2" s="708"/>
      <c r="V2" s="708"/>
    </row>
    <row r="3" spans="1:22" ht="15.75" thickBot="1">
      <c r="A3" s="702" t="s">
        <v>1000</v>
      </c>
    </row>
    <row r="4" spans="1:22">
      <c r="N4" s="1050" t="s">
        <v>982</v>
      </c>
      <c r="O4" s="1052"/>
    </row>
    <row r="5" spans="1:22">
      <c r="N5" s="723" t="s">
        <v>1244</v>
      </c>
      <c r="O5" s="858"/>
      <c r="P5" s="702" t="s">
        <v>819</v>
      </c>
    </row>
    <row r="6" spans="1:22" ht="15.75" thickBot="1">
      <c r="N6" s="723" t="s">
        <v>984</v>
      </c>
      <c r="O6" s="858"/>
    </row>
    <row r="7" spans="1:22" ht="15.75" thickBot="1">
      <c r="C7" s="859" t="s">
        <v>981</v>
      </c>
      <c r="D7" s="860"/>
      <c r="E7" s="861"/>
      <c r="N7" s="731"/>
      <c r="O7" s="862"/>
    </row>
    <row r="8" spans="1:22" ht="15.75" customHeight="1" thickBot="1">
      <c r="C8" s="723" t="s">
        <v>830</v>
      </c>
      <c r="D8" s="722"/>
      <c r="E8" s="727" t="s">
        <v>831</v>
      </c>
    </row>
    <row r="9" spans="1:22" ht="15.75" customHeight="1" thickBot="1">
      <c r="C9" s="731" t="s">
        <v>833</v>
      </c>
      <c r="D9" s="863"/>
      <c r="E9" s="733" t="s">
        <v>831</v>
      </c>
      <c r="N9" s="1050" t="s">
        <v>731</v>
      </c>
      <c r="O9" s="1052"/>
    </row>
    <row r="10" spans="1:22" ht="15.75" thickBot="1">
      <c r="N10" s="864" t="s">
        <v>725</v>
      </c>
      <c r="O10" s="865" t="s">
        <v>726</v>
      </c>
      <c r="P10" s="866" t="s">
        <v>743</v>
      </c>
    </row>
    <row r="11" spans="1:22" ht="30.75" thickBot="1">
      <c r="C11" s="1050" t="s">
        <v>1175</v>
      </c>
      <c r="D11" s="1051"/>
      <c r="E11" s="1052"/>
      <c r="N11" s="867" t="s">
        <v>727</v>
      </c>
      <c r="O11" s="865" t="s">
        <v>728</v>
      </c>
      <c r="P11" s="866" t="s">
        <v>739</v>
      </c>
    </row>
    <row r="12" spans="1:22" ht="18" customHeight="1" thickBot="1">
      <c r="C12" s="705" t="s">
        <v>1177</v>
      </c>
      <c r="D12" s="706">
        <v>10</v>
      </c>
      <c r="E12" s="714" t="s">
        <v>994</v>
      </c>
      <c r="K12" s="868"/>
      <c r="P12" s="866"/>
    </row>
    <row r="13" spans="1:22" ht="15.75" thickBot="1">
      <c r="C13" s="705" t="s">
        <v>274</v>
      </c>
      <c r="D13" s="718">
        <f>(1-D12/D14)*100</f>
        <v>99.933881265619632</v>
      </c>
      <c r="E13" s="714" t="s">
        <v>87</v>
      </c>
      <c r="K13" s="868"/>
      <c r="N13" s="1050" t="s">
        <v>732</v>
      </c>
      <c r="O13" s="1052"/>
      <c r="P13" s="866" t="s">
        <v>744</v>
      </c>
    </row>
    <row r="14" spans="1:22" ht="15.75" thickBot="1">
      <c r="C14" s="869" t="s">
        <v>1035</v>
      </c>
      <c r="D14" s="870">
        <f>+'Liquid fuels_DeSO2'!D239</f>
        <v>15124.306437070909</v>
      </c>
      <c r="E14" s="786" t="s">
        <v>994</v>
      </c>
      <c r="N14" s="872" t="s">
        <v>709</v>
      </c>
      <c r="O14" s="873" t="s">
        <v>710</v>
      </c>
      <c r="P14" s="866"/>
    </row>
    <row r="15" spans="1:22" ht="15.75" thickBot="1">
      <c r="N15" s="874">
        <v>0</v>
      </c>
      <c r="O15" s="875">
        <v>2</v>
      </c>
    </row>
    <row r="16" spans="1:22">
      <c r="C16" s="1050" t="s">
        <v>688</v>
      </c>
      <c r="D16" s="1051"/>
      <c r="E16" s="1052"/>
      <c r="N16" s="876">
        <v>370</v>
      </c>
      <c r="O16" s="875">
        <v>1.5</v>
      </c>
    </row>
    <row r="17" spans="1:22">
      <c r="C17" s="611" t="s">
        <v>687</v>
      </c>
      <c r="D17" s="877">
        <f>0.008</f>
        <v>8.0000000000000002E-3</v>
      </c>
      <c r="E17" s="858" t="s">
        <v>464</v>
      </c>
      <c r="N17" s="876">
        <v>1115</v>
      </c>
      <c r="O17" s="875">
        <v>1.25</v>
      </c>
    </row>
    <row r="18" spans="1:22">
      <c r="C18" s="611" t="s">
        <v>1085</v>
      </c>
      <c r="D18" s="878">
        <f>'Liquid fuels_DeSO2'!M60/'Liquid fuels_DeSO2'!M54*'Liquid fuels - emission calc.'!D20</f>
        <v>383.72618206094882</v>
      </c>
      <c r="E18" s="772" t="s">
        <v>1086</v>
      </c>
      <c r="N18" s="876">
        <v>2230</v>
      </c>
      <c r="O18" s="875">
        <v>1.17</v>
      </c>
    </row>
    <row r="19" spans="1:22" ht="18">
      <c r="C19" s="611" t="s">
        <v>1245</v>
      </c>
      <c r="D19" s="704">
        <f>INT(D18/D17)+1</f>
        <v>47966</v>
      </c>
      <c r="E19" s="879" t="s">
        <v>428</v>
      </c>
      <c r="N19" s="876">
        <v>3350</v>
      </c>
      <c r="O19" s="875">
        <v>1.125</v>
      </c>
    </row>
    <row r="20" spans="1:22" ht="18.75" thickBot="1">
      <c r="C20" s="880" t="s">
        <v>1246</v>
      </c>
      <c r="D20" s="881">
        <f>INT(D19*INDEX(O15:O27,MATCH(D19,N15:N27)))+1</f>
        <v>49885</v>
      </c>
      <c r="E20" s="882" t="str">
        <f>E19</f>
        <v>m2</v>
      </c>
      <c r="N20" s="876">
        <v>4460</v>
      </c>
      <c r="O20" s="875">
        <v>1.1100000000000001</v>
      </c>
    </row>
    <row r="21" spans="1:22">
      <c r="N21" s="876">
        <v>5580</v>
      </c>
      <c r="O21" s="875">
        <v>1.1000000000000001</v>
      </c>
    </row>
    <row r="22" spans="1:22">
      <c r="N22" s="876">
        <v>6690</v>
      </c>
      <c r="O22" s="875">
        <v>1.0900000000000001</v>
      </c>
    </row>
    <row r="23" spans="1:22">
      <c r="G23" s="883"/>
      <c r="N23" s="876">
        <v>7810</v>
      </c>
      <c r="O23" s="875">
        <v>1.08</v>
      </c>
    </row>
    <row r="24" spans="1:22">
      <c r="N24" s="876">
        <v>8920</v>
      </c>
      <c r="O24" s="875">
        <v>1.07</v>
      </c>
    </row>
    <row r="25" spans="1:22">
      <c r="N25" s="876">
        <v>10040</v>
      </c>
      <c r="O25" s="875">
        <v>1.06</v>
      </c>
    </row>
    <row r="26" spans="1:22">
      <c r="C26" s="884"/>
      <c r="D26" s="885"/>
      <c r="E26" s="883"/>
      <c r="N26" s="876">
        <v>12270</v>
      </c>
      <c r="O26" s="875">
        <v>1.05</v>
      </c>
    </row>
    <row r="27" spans="1:22" ht="15.75" thickBot="1">
      <c r="C27" s="886"/>
      <c r="D27" s="885"/>
      <c r="E27" s="883"/>
      <c r="N27" s="887">
        <v>16730</v>
      </c>
      <c r="O27" s="888">
        <v>1.04</v>
      </c>
    </row>
    <row r="28" spans="1:22">
      <c r="C28" s="886"/>
      <c r="D28" s="889"/>
      <c r="E28" s="883"/>
    </row>
    <row r="29" spans="1:22" ht="27.75">
      <c r="A29" s="708"/>
      <c r="B29" s="708"/>
      <c r="C29" s="709" t="s">
        <v>480</v>
      </c>
      <c r="D29" s="710"/>
      <c r="E29" s="710"/>
      <c r="F29" s="710"/>
      <c r="G29" s="710"/>
      <c r="H29" s="710"/>
      <c r="I29" s="710"/>
      <c r="J29" s="710"/>
      <c r="K29" s="710"/>
      <c r="L29" s="710"/>
      <c r="M29" s="710"/>
      <c r="N29" s="709" t="s">
        <v>693</v>
      </c>
      <c r="O29" s="710"/>
      <c r="P29" s="710"/>
      <c r="Q29" s="710"/>
      <c r="R29" s="708"/>
      <c r="S29" s="711"/>
      <c r="T29" s="708"/>
      <c r="U29" s="708"/>
      <c r="V29" s="708"/>
    </row>
    <row r="30" spans="1:22" ht="15.75" thickBot="1"/>
    <row r="31" spans="1:22" ht="15.75" thickBot="1">
      <c r="N31" s="1050" t="s">
        <v>729</v>
      </c>
      <c r="O31" s="1052"/>
    </row>
    <row r="32" spans="1:22" ht="22.5" customHeight="1" thickBot="1">
      <c r="C32" s="1050" t="s">
        <v>683</v>
      </c>
      <c r="D32" s="1051"/>
      <c r="E32" s="1052"/>
      <c r="N32" s="890" t="s">
        <v>721</v>
      </c>
      <c r="O32" s="891" t="s">
        <v>724</v>
      </c>
      <c r="P32" s="866" t="s">
        <v>742</v>
      </c>
    </row>
    <row r="33" spans="3:20" ht="15.75" thickBot="1">
      <c r="C33" s="892" t="str">
        <f>C20</f>
        <v>Gross cloth area [AGC]</v>
      </c>
      <c r="D33" s="893">
        <f>D20</f>
        <v>49885</v>
      </c>
      <c r="E33" s="894" t="s">
        <v>428</v>
      </c>
      <c r="N33" s="895" t="s">
        <v>722</v>
      </c>
      <c r="O33" s="896" t="s">
        <v>723</v>
      </c>
      <c r="P33" s="866" t="s">
        <v>740</v>
      </c>
    </row>
    <row r="34" spans="3:20" ht="15.75" thickBot="1">
      <c r="C34" s="611" t="s">
        <v>943</v>
      </c>
      <c r="D34" s="897">
        <v>8</v>
      </c>
      <c r="E34" s="858"/>
    </row>
    <row r="35" spans="3:20" ht="18">
      <c r="C35" s="611" t="s">
        <v>1247</v>
      </c>
      <c r="D35" s="704">
        <f>D33/D34</f>
        <v>6235.625</v>
      </c>
      <c r="E35" s="858" t="str">
        <f>E33</f>
        <v>m2</v>
      </c>
      <c r="N35" s="1050" t="s">
        <v>1248</v>
      </c>
      <c r="O35" s="1051"/>
      <c r="P35" s="1051"/>
      <c r="Q35" s="1052"/>
      <c r="R35" s="866" t="s">
        <v>230</v>
      </c>
    </row>
    <row r="36" spans="3:20">
      <c r="C36" s="611" t="s">
        <v>691</v>
      </c>
      <c r="D36" s="897">
        <v>2</v>
      </c>
      <c r="E36" s="858"/>
      <c r="N36" s="898" t="s">
        <v>468</v>
      </c>
      <c r="O36" s="899" t="s">
        <v>469</v>
      </c>
      <c r="P36" s="899" t="s">
        <v>481</v>
      </c>
      <c r="Q36" s="900" t="s">
        <v>482</v>
      </c>
    </row>
    <row r="37" spans="3:20" ht="15.75" thickBot="1">
      <c r="C37" s="901" t="s">
        <v>711</v>
      </c>
      <c r="D37" s="902">
        <f>D33+D36*D35</f>
        <v>62356.25</v>
      </c>
      <c r="E37" s="903" t="s">
        <v>428</v>
      </c>
      <c r="N37" s="1206" t="s">
        <v>1164</v>
      </c>
      <c r="O37" s="899" t="s">
        <v>415</v>
      </c>
      <c r="P37" s="904">
        <v>55603.757385543904</v>
      </c>
      <c r="Q37" s="905">
        <v>123.51458852872963</v>
      </c>
      <c r="R37" s="1212" t="s">
        <v>1249</v>
      </c>
    </row>
    <row r="38" spans="3:20">
      <c r="N38" s="1206"/>
      <c r="O38" s="899" t="s">
        <v>470</v>
      </c>
      <c r="P38" s="904">
        <v>26789.434660881612</v>
      </c>
      <c r="Q38" s="905">
        <v>97.119794355154809</v>
      </c>
      <c r="R38" s="1212"/>
    </row>
    <row r="39" spans="3:20" ht="15.75" thickBot="1">
      <c r="N39" s="1206"/>
      <c r="O39" s="899" t="s">
        <v>471</v>
      </c>
      <c r="P39" s="904">
        <v>3087.6419163144305</v>
      </c>
      <c r="Q39" s="905">
        <v>36.05648115857673</v>
      </c>
      <c r="R39" s="1212"/>
    </row>
    <row r="40" spans="3:20" ht="22.5" customHeight="1" thickBot="1">
      <c r="C40" s="1050" t="s">
        <v>479</v>
      </c>
      <c r="D40" s="1051"/>
      <c r="E40" s="1052"/>
      <c r="N40" s="1206" t="s">
        <v>1165</v>
      </c>
      <c r="O40" s="899" t="s">
        <v>415</v>
      </c>
      <c r="P40" s="904">
        <v>422647.45294379309</v>
      </c>
      <c r="Q40" s="905">
        <v>89.669647522761863</v>
      </c>
    </row>
    <row r="41" spans="3:20" ht="18">
      <c r="C41" s="892" t="s">
        <v>1247</v>
      </c>
      <c r="D41" s="893">
        <f>D35</f>
        <v>6235.625</v>
      </c>
      <c r="E41" s="894" t="s">
        <v>428</v>
      </c>
      <c r="N41" s="1206"/>
      <c r="O41" s="899" t="s">
        <v>470</v>
      </c>
      <c r="P41" s="904">
        <v>143808.02727967617</v>
      </c>
      <c r="Q41" s="905">
        <v>33.994525434510329</v>
      </c>
      <c r="T41" s="702">
        <v>1</v>
      </c>
    </row>
    <row r="42" spans="3:20" ht="15.75" thickBot="1">
      <c r="C42" s="703" t="s">
        <v>1163</v>
      </c>
      <c r="D42" s="897" t="s">
        <v>1165</v>
      </c>
      <c r="E42" s="879"/>
      <c r="F42" s="702" t="str">
        <f>IF(D42=N37,IF(D37&gt;2000,"Caution ! For Pre-assembled unit, Total cloth area should not exceed 2000 m²",""),"")</f>
        <v/>
      </c>
      <c r="N42" s="1207"/>
      <c r="O42" s="906" t="s">
        <v>471</v>
      </c>
      <c r="P42" s="907">
        <v>89878.935913898298</v>
      </c>
      <c r="Q42" s="908">
        <v>10.036985131264784</v>
      </c>
      <c r="T42" s="702">
        <v>2</v>
      </c>
    </row>
    <row r="43" spans="3:20">
      <c r="C43" s="703" t="s">
        <v>415</v>
      </c>
      <c r="D43" s="909" t="s">
        <v>278</v>
      </c>
      <c r="E43" s="879" t="s">
        <v>278</v>
      </c>
    </row>
    <row r="44" spans="3:20">
      <c r="C44" s="703" t="s">
        <v>472</v>
      </c>
      <c r="D44" s="897" t="s">
        <v>95</v>
      </c>
      <c r="E44" s="879" t="s">
        <v>85</v>
      </c>
    </row>
    <row r="45" spans="3:20">
      <c r="C45" s="703" t="s">
        <v>500</v>
      </c>
      <c r="D45" s="897" t="s">
        <v>95</v>
      </c>
      <c r="E45" s="879" t="s">
        <v>85</v>
      </c>
    </row>
    <row r="46" spans="3:20" ht="15.75" thickBot="1">
      <c r="C46" s="703" t="s">
        <v>473</v>
      </c>
      <c r="D46" s="704">
        <f>IF(D42=N40,P40,P37)</f>
        <v>422647.45294379309</v>
      </c>
      <c r="E46" s="879" t="s">
        <v>123</v>
      </c>
    </row>
    <row r="47" spans="3:20" ht="15.75" thickBot="1">
      <c r="C47" s="703" t="s">
        <v>474</v>
      </c>
      <c r="D47" s="704">
        <f>IF(D44="Y",IF(D42=N40,P41,P38),0)</f>
        <v>0</v>
      </c>
      <c r="E47" s="879" t="s">
        <v>123</v>
      </c>
      <c r="N47" s="1114" t="s">
        <v>730</v>
      </c>
      <c r="O47" s="1116"/>
    </row>
    <row r="48" spans="3:20">
      <c r="C48" s="703" t="s">
        <v>475</v>
      </c>
      <c r="D48" s="704">
        <f>IF(D45="Y",IF(D42=N40,P42,P39),0)</f>
        <v>0</v>
      </c>
      <c r="E48" s="879" t="s">
        <v>123</v>
      </c>
      <c r="N48" s="898" t="s">
        <v>483</v>
      </c>
      <c r="O48" s="875">
        <v>1</v>
      </c>
    </row>
    <row r="49" spans="3:20">
      <c r="C49" s="703" t="s">
        <v>476</v>
      </c>
      <c r="D49" s="704">
        <f>IF($D$42=$N$40,Q40,Q37)</f>
        <v>89.669647522761863</v>
      </c>
      <c r="E49" s="879" t="s">
        <v>454</v>
      </c>
      <c r="N49" s="898" t="s">
        <v>484</v>
      </c>
      <c r="O49" s="910">
        <v>1.125</v>
      </c>
      <c r="P49" s="866" t="s">
        <v>510</v>
      </c>
      <c r="R49" s="911"/>
      <c r="S49" s="911"/>
    </row>
    <row r="50" spans="3:20">
      <c r="C50" s="703" t="s">
        <v>477</v>
      </c>
      <c r="D50" s="704">
        <f>IF(D44="Y",IF($D$42=$N$40,Q41,Q38),0)</f>
        <v>0</v>
      </c>
      <c r="E50" s="879" t="s">
        <v>454</v>
      </c>
      <c r="N50" s="898" t="s">
        <v>485</v>
      </c>
      <c r="O50" s="910">
        <v>1.2</v>
      </c>
      <c r="P50" s="866" t="s">
        <v>511</v>
      </c>
      <c r="R50" s="911"/>
      <c r="S50" s="911"/>
    </row>
    <row r="51" spans="3:20">
      <c r="C51" s="703" t="s">
        <v>478</v>
      </c>
      <c r="D51" s="704">
        <f>IF(D45="Y",IF($D$42=$N$40,Q42,Q39),0)</f>
        <v>0</v>
      </c>
      <c r="E51" s="879" t="s">
        <v>454</v>
      </c>
      <c r="N51" s="898" t="s">
        <v>486</v>
      </c>
      <c r="O51" s="910">
        <v>2.5</v>
      </c>
      <c r="P51" s="866" t="s">
        <v>510</v>
      </c>
      <c r="R51" s="911"/>
      <c r="S51" s="911"/>
    </row>
    <row r="52" spans="3:20" ht="15.75" thickBot="1">
      <c r="C52" s="912" t="s">
        <v>479</v>
      </c>
      <c r="D52" s="881">
        <f>(SUM(D46:D48)+SUM(D49:D51)*D41)*(D34+D36)</f>
        <v>9817937.4877791498</v>
      </c>
      <c r="E52" s="882" t="s">
        <v>123</v>
      </c>
      <c r="N52" s="898" t="s">
        <v>487</v>
      </c>
      <c r="O52" s="910">
        <v>5</v>
      </c>
      <c r="P52" s="866" t="s">
        <v>510</v>
      </c>
    </row>
    <row r="53" spans="3:20">
      <c r="N53" s="898" t="s">
        <v>488</v>
      </c>
      <c r="O53" s="910">
        <v>6.25</v>
      </c>
      <c r="P53" s="866" t="s">
        <v>510</v>
      </c>
    </row>
    <row r="54" spans="3:20" ht="15.75" thickBot="1">
      <c r="N54" s="898" t="s">
        <v>489</v>
      </c>
      <c r="O54" s="910">
        <v>7.5</v>
      </c>
      <c r="P54" s="866" t="s">
        <v>510</v>
      </c>
    </row>
    <row r="55" spans="3:20" ht="15.75" thickBot="1">
      <c r="C55" s="1050" t="s">
        <v>492</v>
      </c>
      <c r="D55" s="1051"/>
      <c r="E55" s="1052"/>
      <c r="N55" s="913" t="s">
        <v>490</v>
      </c>
      <c r="O55" s="914">
        <v>9.4</v>
      </c>
      <c r="P55" s="866" t="s">
        <v>512</v>
      </c>
    </row>
    <row r="56" spans="3:20">
      <c r="C56" s="611" t="s">
        <v>491</v>
      </c>
      <c r="D56" s="897" t="s">
        <v>488</v>
      </c>
      <c r="E56" s="879"/>
    </row>
    <row r="57" spans="3:20" ht="15.75" customHeight="1" thickBot="1">
      <c r="C57" s="915" t="s">
        <v>497</v>
      </c>
      <c r="D57" s="897">
        <v>9</v>
      </c>
      <c r="E57" s="858" t="s">
        <v>454</v>
      </c>
    </row>
    <row r="58" spans="3:20" ht="18.75">
      <c r="C58" s="611" t="s">
        <v>1250</v>
      </c>
      <c r="D58" s="878">
        <f>D57*VLOOKUP(D56,$N$48:$O$55,2,FALSE)</f>
        <v>56.25</v>
      </c>
      <c r="E58" s="879" t="s">
        <v>454</v>
      </c>
      <c r="N58" s="1208" t="s">
        <v>734</v>
      </c>
      <c r="O58" s="1209"/>
    </row>
    <row r="59" spans="3:20" ht="19.5" thickBot="1">
      <c r="C59" s="880" t="s">
        <v>1251</v>
      </c>
      <c r="D59" s="881">
        <f>D58*D37</f>
        <v>3507539.0625</v>
      </c>
      <c r="E59" s="882" t="s">
        <v>123</v>
      </c>
      <c r="N59" s="916" t="s">
        <v>716</v>
      </c>
      <c r="O59" s="917" t="s">
        <v>705</v>
      </c>
    </row>
    <row r="60" spans="3:20" ht="15.75" customHeight="1" thickBot="1">
      <c r="N60" s="918" t="s">
        <v>715</v>
      </c>
      <c r="O60" s="919" t="s">
        <v>704</v>
      </c>
      <c r="P60" s="866" t="s">
        <v>741</v>
      </c>
    </row>
    <row r="61" spans="3:20">
      <c r="S61" s="920"/>
      <c r="T61" s="920"/>
    </row>
    <row r="62" spans="3:20" ht="15.75" thickBot="1">
      <c r="R62" s="920"/>
      <c r="S62" s="920"/>
      <c r="T62" s="920"/>
    </row>
    <row r="63" spans="3:20" ht="15.75" customHeight="1" thickBot="1">
      <c r="C63" s="1050" t="s">
        <v>495</v>
      </c>
      <c r="D63" s="1051"/>
      <c r="E63" s="1052"/>
      <c r="N63" s="1208" t="s">
        <v>735</v>
      </c>
      <c r="O63" s="1209"/>
      <c r="R63" s="920"/>
      <c r="S63" s="920"/>
      <c r="T63" s="920"/>
    </row>
    <row r="64" spans="3:20" ht="15.75" customHeight="1">
      <c r="C64" s="611" t="s">
        <v>694</v>
      </c>
      <c r="D64" s="909">
        <v>8</v>
      </c>
      <c r="E64" s="879" t="s">
        <v>701</v>
      </c>
      <c r="N64" s="890" t="s">
        <v>696</v>
      </c>
      <c r="O64" s="891" t="s">
        <v>697</v>
      </c>
      <c r="P64" s="921" t="s">
        <v>738</v>
      </c>
    </row>
    <row r="65" spans="2:22" ht="15.75" thickBot="1">
      <c r="C65" s="915" t="s">
        <v>695</v>
      </c>
      <c r="D65" s="909">
        <v>150</v>
      </c>
      <c r="E65" s="858" t="s">
        <v>700</v>
      </c>
      <c r="N65" s="895" t="s">
        <v>698</v>
      </c>
      <c r="O65" s="896" t="s">
        <v>699</v>
      </c>
      <c r="P65" s="921" t="s">
        <v>739</v>
      </c>
    </row>
    <row r="66" spans="2:22">
      <c r="C66" s="611"/>
      <c r="D66" s="922"/>
      <c r="E66" s="879"/>
      <c r="P66" s="920"/>
    </row>
    <row r="67" spans="2:22" ht="15" customHeight="1">
      <c r="C67" s="611"/>
      <c r="D67" s="923"/>
      <c r="E67" s="879"/>
      <c r="O67" s="920"/>
      <c r="P67" s="920"/>
    </row>
    <row r="68" spans="2:22">
      <c r="C68" s="611"/>
      <c r="D68" s="923"/>
      <c r="E68" s="879"/>
    </row>
    <row r="69" spans="2:22">
      <c r="C69" s="611" t="s">
        <v>703</v>
      </c>
      <c r="D69" s="924">
        <v>20</v>
      </c>
      <c r="E69" s="879" t="s">
        <v>454</v>
      </c>
    </row>
    <row r="70" spans="2:22">
      <c r="C70" s="611"/>
      <c r="D70" s="878"/>
      <c r="E70" s="879"/>
    </row>
    <row r="71" spans="2:22" ht="15.75" thickBot="1">
      <c r="C71" s="880" t="s">
        <v>494</v>
      </c>
      <c r="D71" s="881">
        <f>+D69*D37</f>
        <v>1247125</v>
      </c>
      <c r="E71" s="882" t="s">
        <v>123</v>
      </c>
      <c r="O71" s="920"/>
      <c r="P71" s="920"/>
    </row>
    <row r="72" spans="2:22">
      <c r="O72" s="920"/>
      <c r="P72" s="920"/>
    </row>
    <row r="75" spans="2:22" ht="27.75">
      <c r="B75" s="710"/>
      <c r="C75" s="709" t="s">
        <v>184</v>
      </c>
      <c r="D75" s="710"/>
      <c r="E75" s="710"/>
      <c r="F75" s="710"/>
      <c r="G75" s="710"/>
      <c r="H75" s="710"/>
      <c r="I75" s="710"/>
      <c r="J75" s="710"/>
      <c r="K75" s="710"/>
      <c r="L75" s="710"/>
      <c r="M75" s="710"/>
      <c r="N75" s="709" t="s">
        <v>328</v>
      </c>
      <c r="O75" s="710"/>
      <c r="P75" s="710"/>
      <c r="Q75" s="710"/>
      <c r="R75" s="708"/>
      <c r="S75" s="708"/>
      <c r="T75" s="708"/>
      <c r="U75" s="708"/>
      <c r="V75" s="708"/>
    </row>
    <row r="77" spans="2:22" ht="15.75" thickBot="1"/>
    <row r="78" spans="2:22">
      <c r="C78" s="1050" t="s">
        <v>184</v>
      </c>
      <c r="D78" s="1210"/>
      <c r="E78" s="1211"/>
    </row>
    <row r="79" spans="2:22" ht="15.75" thickBot="1">
      <c r="C79" s="723" t="s">
        <v>1063</v>
      </c>
      <c r="D79" s="925">
        <f>D13/100*'Liquid fuels_DeSO2'!D237</f>
        <v>174726.69592460481</v>
      </c>
      <c r="E79" s="789" t="s">
        <v>115</v>
      </c>
    </row>
    <row r="80" spans="2:22" ht="15.75" thickBot="1">
      <c r="C80" s="723" t="s">
        <v>772</v>
      </c>
      <c r="D80" s="788">
        <f>(D52+D59+D71)*(1+SUM(O88:O89))</f>
        <v>16758491.78282102</v>
      </c>
      <c r="E80" s="789" t="s">
        <v>123</v>
      </c>
      <c r="N80" s="1195" t="s">
        <v>736</v>
      </c>
      <c r="O80" s="1196"/>
    </row>
    <row r="81" spans="3:16">
      <c r="C81" s="723" t="s">
        <v>773</v>
      </c>
      <c r="D81" s="788">
        <f>D80*SUM(O93:O98)</f>
        <v>12401283.919287555</v>
      </c>
      <c r="E81" s="789" t="s">
        <v>123</v>
      </c>
      <c r="N81" s="890" t="s">
        <v>457</v>
      </c>
      <c r="O81" s="926" t="s">
        <v>463</v>
      </c>
      <c r="P81" s="866" t="s">
        <v>742</v>
      </c>
    </row>
    <row r="82" spans="3:16">
      <c r="C82" s="723" t="s">
        <v>774</v>
      </c>
      <c r="D82" s="788">
        <f>D80*SUM(O102:O107)</f>
        <v>7541321.3022694597</v>
      </c>
      <c r="E82" s="789" t="s">
        <v>123</v>
      </c>
      <c r="N82" s="927" t="s">
        <v>462</v>
      </c>
      <c r="O82" s="928" t="s">
        <v>461</v>
      </c>
      <c r="P82" s="866" t="s">
        <v>744</v>
      </c>
    </row>
    <row r="83" spans="3:16">
      <c r="C83" s="700" t="s">
        <v>1180</v>
      </c>
      <c r="D83" s="897" t="s">
        <v>95</v>
      </c>
      <c r="E83" s="879" t="s">
        <v>85</v>
      </c>
      <c r="N83" s="927" t="s">
        <v>684</v>
      </c>
      <c r="O83" s="929" t="s">
        <v>706</v>
      </c>
      <c r="P83" s="866" t="s">
        <v>740</v>
      </c>
    </row>
    <row r="84" spans="3:16" ht="15.75" thickBot="1">
      <c r="C84" s="723"/>
      <c r="D84" s="909"/>
      <c r="E84" s="879"/>
      <c r="N84" s="895" t="s">
        <v>686</v>
      </c>
      <c r="O84" s="896">
        <f>2/1000</f>
        <v>2E-3</v>
      </c>
      <c r="P84" s="930" t="s">
        <v>744</v>
      </c>
    </row>
    <row r="85" spans="3:16">
      <c r="C85" s="738"/>
      <c r="D85" s="931"/>
      <c r="E85" s="796"/>
      <c r="N85" s="932"/>
      <c r="O85" s="932"/>
      <c r="P85" s="930"/>
    </row>
    <row r="86" spans="3:16" ht="15.75" thickBot="1">
      <c r="C86" s="738" t="s">
        <v>125</v>
      </c>
      <c r="D86" s="933">
        <f>D82+D81+D80*IF(D83="N",1.4,1)</f>
        <v>43404493.717506438</v>
      </c>
      <c r="E86" s="796" t="s">
        <v>123</v>
      </c>
      <c r="P86" s="866"/>
    </row>
    <row r="87" spans="3:16">
      <c r="C87" s="723" t="s">
        <v>34</v>
      </c>
      <c r="D87" s="925">
        <f>D86*'Liquid fuels - emission calc.'!$J$5</f>
        <v>3903847.9259975194</v>
      </c>
      <c r="E87" s="789" t="s">
        <v>126</v>
      </c>
      <c r="N87" s="1195" t="s">
        <v>788</v>
      </c>
      <c r="O87" s="1196"/>
      <c r="P87" s="866" t="s">
        <v>744</v>
      </c>
    </row>
    <row r="88" spans="3:16">
      <c r="C88" s="1197" t="s">
        <v>33</v>
      </c>
      <c r="D88" s="1198"/>
      <c r="E88" s="1199"/>
      <c r="N88" s="934" t="s">
        <v>776</v>
      </c>
      <c r="O88" s="858">
        <v>0.1</v>
      </c>
    </row>
    <row r="89" spans="3:16" ht="15.75" thickBot="1">
      <c r="C89" s="738" t="s">
        <v>30</v>
      </c>
      <c r="D89" s="935">
        <f>D86*'Liquid fuels - emission calc.'!G4</f>
        <v>868089.87435012881</v>
      </c>
      <c r="E89" s="796" t="s">
        <v>126</v>
      </c>
      <c r="N89" s="936" t="s">
        <v>777</v>
      </c>
      <c r="O89" s="862">
        <v>0.05</v>
      </c>
    </row>
    <row r="90" spans="3:16">
      <c r="C90" s="738" t="s">
        <v>986</v>
      </c>
      <c r="D90" s="935"/>
      <c r="E90" s="796"/>
      <c r="N90" s="937"/>
      <c r="O90" s="938"/>
    </row>
    <row r="91" spans="3:16" ht="15.75" thickBot="1">
      <c r="C91" s="830" t="s">
        <v>458</v>
      </c>
      <c r="D91" s="897">
        <v>50</v>
      </c>
      <c r="E91" s="939" t="s">
        <v>16</v>
      </c>
    </row>
    <row r="92" spans="3:16">
      <c r="C92" s="830" t="s">
        <v>460</v>
      </c>
      <c r="D92" s="940">
        <v>0.65</v>
      </c>
      <c r="E92" s="939" t="s">
        <v>87</v>
      </c>
      <c r="N92" s="1195" t="s">
        <v>775</v>
      </c>
      <c r="O92" s="1196"/>
    </row>
    <row r="93" spans="3:16">
      <c r="C93" s="830" t="s">
        <v>455</v>
      </c>
      <c r="D93" s="941">
        <f>'Liquid fuels - emission calc.'!H35*D91/D92*D18*3600</f>
        <v>2.9370962198853623</v>
      </c>
      <c r="E93" s="804" t="s">
        <v>52</v>
      </c>
      <c r="N93" s="942" t="s">
        <v>504</v>
      </c>
      <c r="O93" s="858">
        <v>0.04</v>
      </c>
    </row>
    <row r="94" spans="3:16">
      <c r="C94" s="830" t="s">
        <v>686</v>
      </c>
      <c r="D94" s="943">
        <f>2/1000</f>
        <v>2E-3</v>
      </c>
      <c r="E94" s="879"/>
      <c r="N94" s="942" t="s">
        <v>505</v>
      </c>
      <c r="O94" s="858">
        <v>0.5</v>
      </c>
    </row>
    <row r="95" spans="3:16">
      <c r="C95" s="830" t="s">
        <v>1064</v>
      </c>
      <c r="D95" s="663">
        <f>0.000375*D18*D94*3600</f>
        <v>1.036060691564562</v>
      </c>
      <c r="E95" s="944" t="str">
        <f>E93</f>
        <v>MWh/h</v>
      </c>
      <c r="N95" s="942" t="s">
        <v>506</v>
      </c>
      <c r="O95" s="858">
        <v>0.08</v>
      </c>
    </row>
    <row r="96" spans="3:16">
      <c r="C96" s="830" t="s">
        <v>1183</v>
      </c>
      <c r="D96" s="945">
        <v>20000</v>
      </c>
      <c r="E96" s="804" t="s">
        <v>717</v>
      </c>
      <c r="N96" s="942" t="s">
        <v>507</v>
      </c>
      <c r="O96" s="858">
        <v>0.01</v>
      </c>
    </row>
    <row r="97" spans="3:15">
      <c r="C97" s="738" t="s">
        <v>988</v>
      </c>
      <c r="D97" s="607">
        <f>IF(D84="Y",D79*D8,D79*D9)</f>
        <v>0</v>
      </c>
      <c r="E97" s="837" t="s">
        <v>126</v>
      </c>
      <c r="N97" s="942" t="s">
        <v>508</v>
      </c>
      <c r="O97" s="858">
        <v>7.0000000000000007E-2</v>
      </c>
    </row>
    <row r="98" spans="3:15" ht="15.75" thickBot="1">
      <c r="C98" s="829" t="s">
        <v>985</v>
      </c>
      <c r="D98" s="933">
        <f>(D$95+D$93)*'Liquid fuels - emission calc.'!H$33*'Liquid fuels - emission calc.'!D$33/100*8760</f>
        <v>2088291.2726580801</v>
      </c>
      <c r="E98" s="837" t="s">
        <v>126</v>
      </c>
      <c r="N98" s="946" t="s">
        <v>509</v>
      </c>
      <c r="O98" s="862">
        <v>0.04</v>
      </c>
    </row>
    <row r="99" spans="3:15" ht="18">
      <c r="C99" s="829" t="s">
        <v>1252</v>
      </c>
      <c r="D99" s="933">
        <f>(1+'Liquid fuels - emission calc.'!J4)^(D96/(8760*'Liquid fuels - emission calc.'!D33/100))*'Liquid fuels - emission calc.'!J4/((1+'Liquid fuels - emission calc.'!J4)^(D96/(8760*'Liquid fuels - emission calc.'!D33/100))-1)*(D59+2.15*D37)</f>
        <v>1700633.8419367978</v>
      </c>
      <c r="E99" s="837" t="s">
        <v>126</v>
      </c>
    </row>
    <row r="100" spans="3:15" ht="15.75" thickBot="1">
      <c r="C100" s="915"/>
      <c r="D100" s="931"/>
      <c r="E100" s="858"/>
      <c r="F100" s="947"/>
    </row>
    <row r="101" spans="3:15">
      <c r="C101" s="948" t="s">
        <v>1095</v>
      </c>
      <c r="D101" s="933">
        <f>+D97+D98+D99</f>
        <v>3788925.1145948777</v>
      </c>
      <c r="E101" s="949" t="s">
        <v>126</v>
      </c>
      <c r="N101" s="1195" t="s">
        <v>778</v>
      </c>
      <c r="O101" s="1196"/>
    </row>
    <row r="102" spans="3:15" ht="15.75" thickBot="1">
      <c r="C102" s="950"/>
      <c r="D102" s="951"/>
      <c r="E102" s="952"/>
      <c r="N102" s="942" t="s">
        <v>779</v>
      </c>
      <c r="O102" s="858">
        <v>0.1</v>
      </c>
    </row>
    <row r="103" spans="3:15">
      <c r="C103" s="1167" t="s">
        <v>1089</v>
      </c>
      <c r="D103" s="1168"/>
      <c r="E103" s="1169"/>
      <c r="N103" s="942" t="s">
        <v>780</v>
      </c>
      <c r="O103" s="858">
        <v>0.2</v>
      </c>
    </row>
    <row r="104" spans="3:15">
      <c r="C104" s="813" t="s">
        <v>1099</v>
      </c>
      <c r="D104" s="814">
        <f>+D79</f>
        <v>174726.69592460481</v>
      </c>
      <c r="E104" s="815" t="s">
        <v>1106</v>
      </c>
      <c r="N104" s="942" t="s">
        <v>781</v>
      </c>
      <c r="O104" s="858">
        <v>0.1</v>
      </c>
    </row>
    <row r="105" spans="3:15">
      <c r="C105" s="813" t="s">
        <v>1100</v>
      </c>
      <c r="D105" s="814">
        <f>+D14</f>
        <v>15124.306437070909</v>
      </c>
      <c r="E105" s="838" t="s">
        <v>1107</v>
      </c>
      <c r="N105" s="934" t="s">
        <v>782</v>
      </c>
      <c r="O105" s="879">
        <v>0.01</v>
      </c>
    </row>
    <row r="106" spans="3:15">
      <c r="C106" s="813" t="s">
        <v>1103</v>
      </c>
      <c r="D106" s="814">
        <f>+D12</f>
        <v>10</v>
      </c>
      <c r="E106" s="838" t="s">
        <v>1108</v>
      </c>
      <c r="N106" s="934" t="s">
        <v>783</v>
      </c>
      <c r="O106" s="879">
        <v>0.01</v>
      </c>
    </row>
    <row r="107" spans="3:15" ht="15.75" thickBot="1">
      <c r="C107" s="813" t="s">
        <v>1039</v>
      </c>
      <c r="D107" s="841">
        <f>+D13</f>
        <v>99.933881265619632</v>
      </c>
      <c r="E107" s="815" t="s">
        <v>87</v>
      </c>
      <c r="N107" s="936" t="s">
        <v>784</v>
      </c>
      <c r="O107" s="882">
        <v>0.03</v>
      </c>
    </row>
    <row r="108" spans="3:15">
      <c r="C108" s="813" t="s">
        <v>906</v>
      </c>
      <c r="D108" s="814">
        <f>+D86</f>
        <v>43404493.717506438</v>
      </c>
      <c r="E108" s="815" t="s">
        <v>123</v>
      </c>
      <c r="N108" s="937"/>
      <c r="O108" s="883"/>
    </row>
    <row r="109" spans="3:15">
      <c r="C109" s="813" t="s">
        <v>879</v>
      </c>
      <c r="D109" s="814">
        <f>+D87+D101+D89</f>
        <v>8560862.9149425253</v>
      </c>
      <c r="E109" s="815" t="s">
        <v>877</v>
      </c>
      <c r="N109" s="937"/>
      <c r="O109" s="883"/>
    </row>
    <row r="110" spans="3:15">
      <c r="C110" s="813" t="s">
        <v>1091</v>
      </c>
      <c r="D110" s="814">
        <f>+D109/D104</f>
        <v>48.995735137328808</v>
      </c>
      <c r="E110" s="815" t="s">
        <v>1105</v>
      </c>
      <c r="N110" s="937"/>
      <c r="O110" s="883"/>
    </row>
    <row r="111" spans="3:15">
      <c r="C111" s="813" t="s">
        <v>908</v>
      </c>
      <c r="D111" s="814">
        <f>+D108/('Liquid fuels - emission calc.'!$D$20*1000)</f>
        <v>34.723594974005152</v>
      </c>
      <c r="E111" s="815" t="s">
        <v>303</v>
      </c>
      <c r="N111" s="937"/>
      <c r="O111" s="883"/>
    </row>
    <row r="112" spans="3:15">
      <c r="C112" s="813" t="s">
        <v>813</v>
      </c>
      <c r="D112" s="841">
        <f>(D93+D95)/('Liquid fuels - emission calc.'!D20*'Liquid fuels - emission calc.'!D21/100)*100</f>
        <v>0.79463138228998487</v>
      </c>
      <c r="E112" s="815" t="s">
        <v>87</v>
      </c>
      <c r="N112" s="937"/>
      <c r="O112" s="883"/>
    </row>
    <row r="113" spans="1:22">
      <c r="C113" s="794" t="s">
        <v>815</v>
      </c>
      <c r="D113" s="843">
        <f>IF(D109&gt;0,D87/D109,"n/a")</f>
        <v>0.45601103122251413</v>
      </c>
      <c r="E113" s="844"/>
      <c r="N113" s="937"/>
      <c r="O113" s="883"/>
    </row>
    <row r="114" spans="1:22" ht="15.75" thickBot="1">
      <c r="C114" s="798" t="s">
        <v>816</v>
      </c>
      <c r="D114" s="845">
        <f>IF(D109&gt;0,(D101+D89)/D109,"n/a")</f>
        <v>0.54398896877748593</v>
      </c>
      <c r="E114" s="846"/>
      <c r="N114" s="937"/>
      <c r="O114" s="883"/>
    </row>
    <row r="115" spans="1:22">
      <c r="N115" s="937"/>
      <c r="O115" s="883"/>
    </row>
    <row r="116" spans="1:22">
      <c r="N116" s="937"/>
      <c r="O116" s="883"/>
    </row>
    <row r="117" spans="1:22">
      <c r="N117" s="937"/>
      <c r="O117" s="883"/>
    </row>
    <row r="118" spans="1:22">
      <c r="N118" s="937"/>
      <c r="O118" s="883"/>
    </row>
    <row r="119" spans="1:22">
      <c r="N119" s="937"/>
      <c r="O119" s="883"/>
    </row>
    <row r="122" spans="1:22" ht="27.75">
      <c r="A122" s="708"/>
      <c r="B122" s="710"/>
      <c r="C122" s="709" t="s">
        <v>333</v>
      </c>
      <c r="D122" s="710"/>
      <c r="E122" s="710"/>
      <c r="F122" s="710"/>
      <c r="G122" s="710"/>
      <c r="H122" s="710"/>
      <c r="I122" s="710"/>
      <c r="J122" s="710"/>
      <c r="K122" s="710"/>
      <c r="L122" s="710"/>
      <c r="M122" s="710"/>
      <c r="N122" s="709"/>
      <c r="O122" s="710"/>
      <c r="P122" s="710"/>
      <c r="Q122" s="710"/>
      <c r="R122" s="708"/>
      <c r="S122" s="708"/>
      <c r="T122" s="708"/>
      <c r="U122" s="708"/>
      <c r="V122" s="708"/>
    </row>
    <row r="126" spans="1:22">
      <c r="C126" s="702" t="s">
        <v>186</v>
      </c>
      <c r="D126" s="702" t="s">
        <v>745</v>
      </c>
    </row>
    <row r="127" spans="1:22">
      <c r="C127" s="702" t="s">
        <v>205</v>
      </c>
      <c r="D127" s="953">
        <f>'Solid fuels - emission calc.'!D21/100</f>
        <v>0.4</v>
      </c>
      <c r="E127" s="702" t="s">
        <v>206</v>
      </c>
    </row>
    <row r="128" spans="1:22" ht="15.75" thickBot="1">
      <c r="E128" s="954"/>
      <c r="H128" s="955"/>
    </row>
    <row r="129" spans="3:11">
      <c r="C129" s="1200" t="s">
        <v>759</v>
      </c>
      <c r="D129" s="1202" t="s">
        <v>214</v>
      </c>
      <c r="E129" s="1204" t="s">
        <v>760</v>
      </c>
      <c r="F129" s="1204"/>
      <c r="G129" s="1204"/>
      <c r="H129" s="1204"/>
      <c r="I129" s="1204"/>
      <c r="J129" s="1204" t="s">
        <v>757</v>
      </c>
      <c r="K129" s="1205"/>
    </row>
    <row r="130" spans="3:11" ht="15.75" thickBot="1">
      <c r="C130" s="1201"/>
      <c r="D130" s="1203"/>
      <c r="E130" s="956" t="s">
        <v>143</v>
      </c>
      <c r="F130" s="956" t="s">
        <v>144</v>
      </c>
      <c r="G130" s="956" t="s">
        <v>199</v>
      </c>
      <c r="H130" s="956"/>
      <c r="I130" s="956" t="s">
        <v>755</v>
      </c>
      <c r="J130" s="957" t="s">
        <v>143</v>
      </c>
      <c r="K130" s="958" t="s">
        <v>144</v>
      </c>
    </row>
    <row r="131" spans="3:11">
      <c r="C131" s="959" t="s">
        <v>746</v>
      </c>
      <c r="D131" s="960">
        <v>2005</v>
      </c>
      <c r="E131" s="961">
        <v>23.8</v>
      </c>
      <c r="F131" s="961">
        <v>23.8</v>
      </c>
      <c r="G131" s="960" t="s">
        <v>752</v>
      </c>
      <c r="H131" s="962" t="s">
        <v>754</v>
      </c>
      <c r="I131" s="960" t="s">
        <v>756</v>
      </c>
      <c r="J131" s="961">
        <f>E131/0.684*550.8/468.2*0.4</f>
        <v>16.373569549675128</v>
      </c>
      <c r="K131" s="963">
        <f>F131/0.684*550.8/468.2*0.4</f>
        <v>16.373569549675128</v>
      </c>
    </row>
    <row r="132" spans="3:11">
      <c r="C132" s="964" t="s">
        <v>747</v>
      </c>
      <c r="D132" s="932">
        <v>2005</v>
      </c>
      <c r="E132" s="965">
        <v>28</v>
      </c>
      <c r="F132" s="965">
        <v>28</v>
      </c>
      <c r="G132" s="932" t="s">
        <v>752</v>
      </c>
      <c r="H132" s="938" t="s">
        <v>754</v>
      </c>
      <c r="I132" s="932" t="s">
        <v>756</v>
      </c>
      <c r="J132" s="965">
        <f>E132/0.684*550.8/468.2*0.4</f>
        <v>19.2630229996178</v>
      </c>
      <c r="K132" s="966">
        <f>F132/0.684*550.8/468.2*0.4</f>
        <v>19.2630229996178</v>
      </c>
    </row>
    <row r="133" spans="3:11">
      <c r="C133" s="964" t="s">
        <v>764</v>
      </c>
      <c r="D133" s="932">
        <v>2006</v>
      </c>
      <c r="E133" s="965">
        <v>53</v>
      </c>
      <c r="F133" s="965">
        <v>80</v>
      </c>
      <c r="G133" s="932" t="s">
        <v>753</v>
      </c>
      <c r="H133" s="938" t="s">
        <v>754</v>
      </c>
      <c r="I133" s="932" t="s">
        <v>756</v>
      </c>
      <c r="J133" s="965">
        <f t="shared" ref="J133:K135" si="0">E133/1.256*550.8/499.6*0.4</f>
        <v>18.608772368213042</v>
      </c>
      <c r="K133" s="966">
        <f t="shared" si="0"/>
        <v>28.088713008623458</v>
      </c>
    </row>
    <row r="134" spans="3:11">
      <c r="C134" s="964" t="s">
        <v>748</v>
      </c>
      <c r="D134" s="932">
        <v>2006</v>
      </c>
      <c r="E134" s="965">
        <v>60.5</v>
      </c>
      <c r="F134" s="965">
        <v>60.5</v>
      </c>
      <c r="G134" s="967" t="s">
        <v>753</v>
      </c>
      <c r="H134" s="938" t="s">
        <v>754</v>
      </c>
      <c r="I134" s="967" t="s">
        <v>756</v>
      </c>
      <c r="J134" s="965">
        <f t="shared" si="0"/>
        <v>21.242089212771489</v>
      </c>
      <c r="K134" s="966">
        <f t="shared" si="0"/>
        <v>21.242089212771489</v>
      </c>
    </row>
    <row r="135" spans="3:11">
      <c r="C135" s="964" t="s">
        <v>758</v>
      </c>
      <c r="D135" s="909">
        <v>2006</v>
      </c>
      <c r="E135" s="922">
        <v>60</v>
      </c>
      <c r="F135" s="922">
        <v>60</v>
      </c>
      <c r="G135" s="967" t="s">
        <v>753</v>
      </c>
      <c r="H135" s="938" t="s">
        <v>754</v>
      </c>
      <c r="I135" s="909" t="s">
        <v>756</v>
      </c>
      <c r="J135" s="965">
        <f t="shared" si="0"/>
        <v>21.066534756467593</v>
      </c>
      <c r="K135" s="966">
        <f t="shared" si="0"/>
        <v>21.066534756467593</v>
      </c>
    </row>
    <row r="136" spans="3:11">
      <c r="C136" s="964" t="s">
        <v>749</v>
      </c>
      <c r="D136" s="932">
        <v>2001</v>
      </c>
      <c r="E136" s="922">
        <v>36</v>
      </c>
      <c r="F136" s="932">
        <v>36</v>
      </c>
      <c r="G136" s="967" t="s">
        <v>753</v>
      </c>
      <c r="H136" s="938" t="s">
        <v>754</v>
      </c>
      <c r="I136" s="967" t="s">
        <v>756</v>
      </c>
      <c r="J136" s="965">
        <f>E136/0.896*550.8/394.6*0.4</f>
        <v>22.433205415972775</v>
      </c>
      <c r="K136" s="966">
        <f>F136/0.896*550.8/394.6*0.4</f>
        <v>22.433205415972775</v>
      </c>
    </row>
    <row r="137" spans="3:11">
      <c r="C137" s="964" t="s">
        <v>207</v>
      </c>
      <c r="D137" s="932">
        <v>1998</v>
      </c>
      <c r="E137" s="965">
        <v>50</v>
      </c>
      <c r="F137" s="965">
        <v>70</v>
      </c>
      <c r="G137" s="967" t="s">
        <v>753</v>
      </c>
      <c r="H137" s="938" t="s">
        <v>754</v>
      </c>
      <c r="I137" s="967" t="s">
        <v>756</v>
      </c>
      <c r="J137" s="965">
        <f>E137/1.121*550.8/389.5*0.4</f>
        <v>25.229628323326754</v>
      </c>
      <c r="K137" s="966">
        <f>F137/1.121*550.8/389.5*0.4</f>
        <v>35.321479652657452</v>
      </c>
    </row>
    <row r="138" spans="3:11">
      <c r="C138" s="964" t="s">
        <v>511</v>
      </c>
      <c r="D138" s="932">
        <v>2008</v>
      </c>
      <c r="E138" s="965">
        <v>19.7</v>
      </c>
      <c r="F138" s="965">
        <v>21</v>
      </c>
      <c r="G138" s="967" t="s">
        <v>123</v>
      </c>
      <c r="H138" s="938" t="s">
        <v>754</v>
      </c>
      <c r="I138" s="967" t="s">
        <v>761</v>
      </c>
      <c r="J138" s="965">
        <f>E138*550.8/575.4</f>
        <v>18.857768508863398</v>
      </c>
      <c r="K138" s="966">
        <f>F138*550.8/575.4</f>
        <v>20.102189781021899</v>
      </c>
    </row>
    <row r="139" spans="3:11">
      <c r="C139" s="964" t="s">
        <v>750</v>
      </c>
      <c r="D139" s="932">
        <v>2007</v>
      </c>
      <c r="E139" s="965">
        <v>50</v>
      </c>
      <c r="F139" s="965">
        <v>50</v>
      </c>
      <c r="G139" s="967" t="s">
        <v>753</v>
      </c>
      <c r="H139" s="938" t="s">
        <v>754</v>
      </c>
      <c r="I139" s="967" t="s">
        <v>756</v>
      </c>
      <c r="J139" s="965">
        <f>E139/1.371*550.8/525.4</f>
        <v>38.232827088499413</v>
      </c>
      <c r="K139" s="966">
        <f>F139/1.371*550.8/525.4</f>
        <v>38.232827088499413</v>
      </c>
    </row>
    <row r="140" spans="3:11">
      <c r="C140" s="964" t="s">
        <v>1159</v>
      </c>
      <c r="D140" s="909">
        <v>2010</v>
      </c>
      <c r="E140" s="922">
        <f>52948000/812000</f>
        <v>65.206896551724142</v>
      </c>
      <c r="F140" s="922">
        <f>71095000/812000</f>
        <v>87.555418719211829</v>
      </c>
      <c r="G140" s="967" t="s">
        <v>753</v>
      </c>
      <c r="H140" s="938" t="s">
        <v>754</v>
      </c>
      <c r="I140" s="967" t="s">
        <v>756</v>
      </c>
      <c r="J140" s="965">
        <f>E140/1.392*0.4</f>
        <v>18.737613951644871</v>
      </c>
      <c r="K140" s="966">
        <f>F140/1.392*0.4</f>
        <v>25.159603080233286</v>
      </c>
    </row>
    <row r="141" spans="3:11">
      <c r="C141" s="964" t="s">
        <v>207</v>
      </c>
      <c r="D141" s="932">
        <v>2000</v>
      </c>
      <c r="E141" s="968">
        <v>4.8</v>
      </c>
      <c r="F141" s="968">
        <v>45</v>
      </c>
      <c r="G141" s="932" t="s">
        <v>753</v>
      </c>
      <c r="H141" s="938" t="s">
        <v>754</v>
      </c>
      <c r="I141" s="932" t="s">
        <v>761</v>
      </c>
      <c r="J141" s="965">
        <f>E141/0.924*550.8/394.1</f>
        <v>7.2603367198647568</v>
      </c>
      <c r="K141" s="966">
        <f>F141/0.924*550.8/394.1</f>
        <v>68.065656748732096</v>
      </c>
    </row>
    <row r="142" spans="3:11" ht="15.75" thickBot="1">
      <c r="C142" s="969" t="s">
        <v>751</v>
      </c>
      <c r="D142" s="970">
        <v>2001</v>
      </c>
      <c r="E142" s="971">
        <v>3.9</v>
      </c>
      <c r="F142" s="971">
        <v>16.5</v>
      </c>
      <c r="G142" s="970" t="s">
        <v>753</v>
      </c>
      <c r="H142" s="972" t="s">
        <v>754</v>
      </c>
      <c r="I142" s="970" t="s">
        <v>761</v>
      </c>
      <c r="J142" s="973">
        <f>E142/0.896*550.8/394.3</f>
        <v>6.08028241730372</v>
      </c>
      <c r="K142" s="974">
        <f>F142/0.896*550.8/394.3</f>
        <v>25.724271765515738</v>
      </c>
    </row>
    <row r="148" spans="3:3">
      <c r="C148" s="975"/>
    </row>
  </sheetData>
  <mergeCells count="28">
    <mergeCell ref="R37:R39"/>
    <mergeCell ref="N31:O31"/>
    <mergeCell ref="N4:O4"/>
    <mergeCell ref="N9:O9"/>
    <mergeCell ref="C11:E11"/>
    <mergeCell ref="N13:O13"/>
    <mergeCell ref="C16:E16"/>
    <mergeCell ref="N80:O80"/>
    <mergeCell ref="C32:E32"/>
    <mergeCell ref="N35:Q35"/>
    <mergeCell ref="N37:N39"/>
    <mergeCell ref="C40:E40"/>
    <mergeCell ref="N40:N42"/>
    <mergeCell ref="N47:O47"/>
    <mergeCell ref="C55:E55"/>
    <mergeCell ref="N58:O58"/>
    <mergeCell ref="C63:E63"/>
    <mergeCell ref="N63:O63"/>
    <mergeCell ref="C78:E78"/>
    <mergeCell ref="N87:O87"/>
    <mergeCell ref="C88:E88"/>
    <mergeCell ref="N92:O92"/>
    <mergeCell ref="N101:O101"/>
    <mergeCell ref="C129:C130"/>
    <mergeCell ref="D129:D130"/>
    <mergeCell ref="E129:I129"/>
    <mergeCell ref="J129:K129"/>
    <mergeCell ref="C103:E103"/>
  </mergeCells>
  <conditionalFormatting sqref="C78">
    <cfRule type="expression" dxfId="0" priority="1">
      <formula>Method_2</formula>
    </cfRule>
  </conditionalFormatting>
  <dataValidations count="3">
    <dataValidation type="list" allowBlank="1" showInputMessage="1" showErrorMessage="1" sqref="D44:D45 D83:D84">
      <formula1>"Y,N"</formula1>
    </dataValidation>
    <dataValidation type="list" allowBlank="1" showInputMessage="1" showErrorMessage="1" sqref="D56">
      <formula1>$N$48:$N$55</formula1>
    </dataValidation>
    <dataValidation type="list" allowBlank="1" showInputMessage="1" showErrorMessage="1" sqref="D42">
      <formula1>"Pre-assembled unit,Field assembled unit"</formula1>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dimension ref="A1:F117"/>
  <sheetViews>
    <sheetView topLeftCell="A103" workbookViewId="0">
      <selection activeCell="A109" sqref="A109"/>
    </sheetView>
  </sheetViews>
  <sheetFormatPr baseColWidth="10" defaultRowHeight="15"/>
  <cols>
    <col min="1" max="1" width="57.85546875" customWidth="1"/>
  </cols>
  <sheetData>
    <row r="1" spans="1:6" s="564" customFormat="1">
      <c r="A1" s="564" t="s">
        <v>921</v>
      </c>
      <c r="B1" s="564" t="s">
        <v>922</v>
      </c>
      <c r="D1" s="564" t="s">
        <v>923</v>
      </c>
    </row>
    <row r="2" spans="1:6">
      <c r="A2" s="564" t="s">
        <v>917</v>
      </c>
      <c r="B2" s="564" t="s">
        <v>918</v>
      </c>
      <c r="D2" s="564" t="s">
        <v>919</v>
      </c>
      <c r="F2" s="564"/>
    </row>
    <row r="3" spans="1:6">
      <c r="A3" s="564" t="s">
        <v>920</v>
      </c>
      <c r="B3" s="583">
        <v>41557</v>
      </c>
      <c r="D3" s="564" t="s">
        <v>924</v>
      </c>
    </row>
    <row r="4" spans="1:6">
      <c r="A4" t="s">
        <v>939</v>
      </c>
      <c r="B4" s="583">
        <v>41561</v>
      </c>
      <c r="D4" t="s">
        <v>940</v>
      </c>
    </row>
    <row r="5" spans="1:6">
      <c r="A5" s="564" t="s">
        <v>941</v>
      </c>
      <c r="B5" s="583">
        <v>41563</v>
      </c>
      <c r="D5" s="564" t="s">
        <v>924</v>
      </c>
    </row>
    <row r="6" spans="1:6">
      <c r="A6" s="564" t="s">
        <v>944</v>
      </c>
      <c r="B6" s="583">
        <f>B5</f>
        <v>41563</v>
      </c>
      <c r="D6" t="str">
        <f>D5</f>
        <v>JBV</v>
      </c>
    </row>
    <row r="7" spans="1:6">
      <c r="A7" s="564" t="s">
        <v>945</v>
      </c>
      <c r="B7" s="583">
        <v>41571</v>
      </c>
      <c r="D7" s="564" t="s">
        <v>919</v>
      </c>
    </row>
    <row r="8" spans="1:6">
      <c r="A8" s="564" t="s">
        <v>1011</v>
      </c>
      <c r="B8" s="583">
        <v>41577</v>
      </c>
      <c r="D8" s="564" t="s">
        <v>940</v>
      </c>
    </row>
    <row r="9" spans="1:6">
      <c r="A9" s="564" t="s">
        <v>1012</v>
      </c>
      <c r="B9" s="583">
        <v>41578</v>
      </c>
      <c r="D9" s="564" t="s">
        <v>919</v>
      </c>
    </row>
    <row r="10" spans="1:6">
      <c r="A10" s="564" t="s">
        <v>1013</v>
      </c>
      <c r="B10" s="583">
        <v>41578</v>
      </c>
      <c r="D10" s="564" t="s">
        <v>919</v>
      </c>
    </row>
    <row r="11" spans="1:6">
      <c r="A11" s="564" t="s">
        <v>1014</v>
      </c>
      <c r="B11" s="583">
        <v>41578</v>
      </c>
      <c r="D11" s="564" t="s">
        <v>919</v>
      </c>
    </row>
    <row r="12" spans="1:6">
      <c r="A12" t="s">
        <v>1018</v>
      </c>
      <c r="B12" s="583">
        <v>41582</v>
      </c>
      <c r="D12" t="s">
        <v>1019</v>
      </c>
    </row>
    <row r="13" spans="1:6">
      <c r="A13" t="s">
        <v>1020</v>
      </c>
      <c r="B13" s="583">
        <v>41582</v>
      </c>
      <c r="C13" s="564"/>
      <c r="D13" s="564" t="s">
        <v>1019</v>
      </c>
    </row>
    <row r="14" spans="1:6">
      <c r="A14" s="564" t="s">
        <v>1029</v>
      </c>
      <c r="B14" s="583">
        <v>41584</v>
      </c>
      <c r="D14" s="564" t="s">
        <v>1019</v>
      </c>
    </row>
    <row r="15" spans="1:6">
      <c r="A15" s="564" t="s">
        <v>1029</v>
      </c>
      <c r="B15" s="616">
        <v>41586</v>
      </c>
      <c r="D15" s="564" t="s">
        <v>919</v>
      </c>
    </row>
    <row r="16" spans="1:6">
      <c r="A16" s="564" t="s">
        <v>1065</v>
      </c>
      <c r="B16" s="616">
        <v>41587</v>
      </c>
      <c r="C16" s="564"/>
      <c r="D16" s="564" t="s">
        <v>919</v>
      </c>
    </row>
    <row r="17" spans="1:4">
      <c r="A17" s="564" t="s">
        <v>1071</v>
      </c>
      <c r="B17" s="616">
        <v>41590</v>
      </c>
      <c r="D17" s="564" t="s">
        <v>940</v>
      </c>
    </row>
    <row r="18" spans="1:4">
      <c r="A18" s="564" t="s">
        <v>1072</v>
      </c>
      <c r="B18" s="616">
        <v>41592</v>
      </c>
      <c r="D18" s="564" t="s">
        <v>919</v>
      </c>
    </row>
    <row r="19" spans="1:4">
      <c r="A19" s="564" t="s">
        <v>1109</v>
      </c>
      <c r="B19" s="616">
        <v>41596</v>
      </c>
      <c r="D19" s="564" t="s">
        <v>919</v>
      </c>
    </row>
    <row r="20" spans="1:4">
      <c r="A20" s="564" t="s">
        <v>1173</v>
      </c>
      <c r="B20" s="616">
        <v>41682</v>
      </c>
      <c r="D20" s="564" t="s">
        <v>924</v>
      </c>
    </row>
    <row r="21" spans="1:4">
      <c r="A21" s="564" t="s">
        <v>1174</v>
      </c>
      <c r="B21" s="616">
        <v>41787</v>
      </c>
      <c r="D21" s="564" t="s">
        <v>919</v>
      </c>
    </row>
    <row r="22" spans="1:4">
      <c r="A22" s="564" t="s">
        <v>1176</v>
      </c>
    </row>
    <row r="23" spans="1:4">
      <c r="A23" s="564" t="s">
        <v>1178</v>
      </c>
    </row>
    <row r="24" spans="1:4">
      <c r="A24" s="564" t="s">
        <v>1179</v>
      </c>
    </row>
    <row r="25" spans="1:4">
      <c r="A25" s="564" t="s">
        <v>1181</v>
      </c>
    </row>
    <row r="26" spans="1:4" s="564" customFormat="1">
      <c r="A26" s="564" t="s">
        <v>1221</v>
      </c>
    </row>
    <row r="27" spans="1:4">
      <c r="A27" s="564" t="s">
        <v>1182</v>
      </c>
    </row>
    <row r="28" spans="1:4" s="564" customFormat="1">
      <c r="A28" s="564" t="s">
        <v>1222</v>
      </c>
    </row>
    <row r="30" spans="1:4">
      <c r="A30" s="564" t="s">
        <v>1187</v>
      </c>
    </row>
    <row r="31" spans="1:4">
      <c r="A31" s="564" t="s">
        <v>1188</v>
      </c>
    </row>
    <row r="32" spans="1:4">
      <c r="A32" s="564" t="s">
        <v>1189</v>
      </c>
    </row>
    <row r="33" spans="1:1">
      <c r="A33" s="564" t="s">
        <v>1190</v>
      </c>
    </row>
    <row r="35" spans="1:1">
      <c r="A35" s="564" t="s">
        <v>1191</v>
      </c>
    </row>
    <row r="36" spans="1:1">
      <c r="A36" s="564" t="s">
        <v>1188</v>
      </c>
    </row>
    <row r="37" spans="1:1">
      <c r="A37" s="564" t="s">
        <v>1189</v>
      </c>
    </row>
    <row r="38" spans="1:1">
      <c r="A38" s="564" t="s">
        <v>1190</v>
      </c>
    </row>
    <row r="40" spans="1:1">
      <c r="A40" s="71" t="s">
        <v>1192</v>
      </c>
    </row>
    <row r="41" spans="1:1">
      <c r="A41" s="564" t="s">
        <v>1193</v>
      </c>
    </row>
    <row r="42" spans="1:1">
      <c r="A42" s="564" t="s">
        <v>1194</v>
      </c>
    </row>
    <row r="43" spans="1:1">
      <c r="A43" s="564" t="s">
        <v>1197</v>
      </c>
    </row>
    <row r="44" spans="1:1">
      <c r="A44" s="564" t="s">
        <v>1200</v>
      </c>
    </row>
    <row r="45" spans="1:1" s="564" customFormat="1">
      <c r="A45" s="564" t="s">
        <v>1218</v>
      </c>
    </row>
    <row r="46" spans="1:1">
      <c r="A46" s="564" t="s">
        <v>1201</v>
      </c>
    </row>
    <row r="47" spans="1:1">
      <c r="A47" s="564" t="s">
        <v>1212</v>
      </c>
    </row>
    <row r="48" spans="1:1" s="564" customFormat="1"/>
    <row r="49" spans="1:1">
      <c r="A49" s="71" t="s">
        <v>1204</v>
      </c>
    </row>
    <row r="50" spans="1:1">
      <c r="A50" s="564" t="s">
        <v>1176</v>
      </c>
    </row>
    <row r="51" spans="1:1">
      <c r="A51" s="564" t="s">
        <v>1178</v>
      </c>
    </row>
    <row r="52" spans="1:1" s="702" customFormat="1">
      <c r="A52" s="702" t="s">
        <v>1179</v>
      </c>
    </row>
    <row r="53" spans="1:1">
      <c r="A53" s="564" t="s">
        <v>1181</v>
      </c>
    </row>
    <row r="54" spans="1:1">
      <c r="A54" s="564" t="s">
        <v>1182</v>
      </c>
    </row>
    <row r="55" spans="1:1" s="564" customFormat="1">
      <c r="A55" s="564" t="s">
        <v>1222</v>
      </c>
    </row>
    <row r="57" spans="1:1">
      <c r="A57" s="71" t="s">
        <v>1205</v>
      </c>
    </row>
    <row r="58" spans="1:1">
      <c r="A58" s="564" t="s">
        <v>1193</v>
      </c>
    </row>
    <row r="59" spans="1:1">
      <c r="A59" s="564" t="s">
        <v>1194</v>
      </c>
    </row>
    <row r="60" spans="1:1">
      <c r="A60" s="564" t="s">
        <v>1197</v>
      </c>
    </row>
    <row r="61" spans="1:1" s="564" customFormat="1">
      <c r="A61" s="564" t="s">
        <v>1209</v>
      </c>
    </row>
    <row r="62" spans="1:1">
      <c r="A62" s="564" t="s">
        <v>1200</v>
      </c>
    </row>
    <row r="63" spans="1:1">
      <c r="A63" s="564" t="s">
        <v>1201</v>
      </c>
    </row>
    <row r="64" spans="1:1" s="564" customFormat="1">
      <c r="A64" s="564" t="s">
        <v>1220</v>
      </c>
    </row>
    <row r="65" spans="1:3" s="564" customFormat="1">
      <c r="A65" s="564" t="s">
        <v>1213</v>
      </c>
    </row>
    <row r="66" spans="1:3" s="564" customFormat="1">
      <c r="A66" s="564" t="s">
        <v>1214</v>
      </c>
    </row>
    <row r="67" spans="1:3" s="564" customFormat="1"/>
    <row r="68" spans="1:3" s="564" customFormat="1"/>
    <row r="69" spans="1:3" s="564" customFormat="1"/>
    <row r="70" spans="1:3">
      <c r="A70" s="564"/>
    </row>
    <row r="71" spans="1:3">
      <c r="A71" s="71" t="s">
        <v>1206</v>
      </c>
    </row>
    <row r="72" spans="1:3">
      <c r="A72" s="564" t="s">
        <v>1176</v>
      </c>
    </row>
    <row r="73" spans="1:3">
      <c r="A73" s="564" t="s">
        <v>1178</v>
      </c>
    </row>
    <row r="74" spans="1:3" s="702" customFormat="1">
      <c r="A74" s="702" t="s">
        <v>1179</v>
      </c>
    </row>
    <row r="75" spans="1:3">
      <c r="A75" s="564" t="s">
        <v>1181</v>
      </c>
    </row>
    <row r="76" spans="1:3">
      <c r="A76" s="564" t="s">
        <v>1182</v>
      </c>
    </row>
    <row r="77" spans="1:3">
      <c r="A77" s="564" t="s">
        <v>1215</v>
      </c>
    </row>
    <row r="78" spans="1:3" s="564" customFormat="1">
      <c r="A78" s="564" t="s">
        <v>1222</v>
      </c>
    </row>
    <row r="80" spans="1:3">
      <c r="B80" s="616">
        <v>41801</v>
      </c>
      <c r="C80" s="564" t="s">
        <v>919</v>
      </c>
    </row>
    <row r="81" spans="1:3">
      <c r="A81" s="564" t="s">
        <v>1253</v>
      </c>
    </row>
    <row r="82" spans="1:3">
      <c r="A82" s="994" t="s">
        <v>1254</v>
      </c>
    </row>
    <row r="83" spans="1:3">
      <c r="A83" s="994" t="s">
        <v>1255</v>
      </c>
    </row>
    <row r="84" spans="1:3">
      <c r="A84" s="564" t="s">
        <v>1256</v>
      </c>
    </row>
    <row r="85" spans="1:3">
      <c r="A85" s="994" t="s">
        <v>1254</v>
      </c>
    </row>
    <row r="86" spans="1:3">
      <c r="A86" s="994" t="s">
        <v>1255</v>
      </c>
    </row>
    <row r="88" spans="1:3">
      <c r="A88" s="997" t="s">
        <v>1257</v>
      </c>
    </row>
    <row r="89" spans="1:3">
      <c r="A89" s="994" t="s">
        <v>1254</v>
      </c>
    </row>
    <row r="90" spans="1:3">
      <c r="A90" s="994" t="s">
        <v>1255</v>
      </c>
    </row>
    <row r="92" spans="1:3">
      <c r="A92" s="547" t="s">
        <v>1253</v>
      </c>
      <c r="B92" s="616">
        <v>41802</v>
      </c>
      <c r="C92" t="s">
        <v>1274</v>
      </c>
    </row>
    <row r="93" spans="1:3">
      <c r="A93" s="994" t="s">
        <v>1261</v>
      </c>
    </row>
    <row r="94" spans="1:3">
      <c r="A94" s="994" t="s">
        <v>1271</v>
      </c>
    </row>
    <row r="95" spans="1:3">
      <c r="A95" s="547" t="s">
        <v>1256</v>
      </c>
    </row>
    <row r="96" spans="1:3">
      <c r="A96" s="994" t="s">
        <v>1261</v>
      </c>
    </row>
    <row r="97" spans="1:4">
      <c r="A97" s="994" t="s">
        <v>1271</v>
      </c>
    </row>
    <row r="98" spans="1:4">
      <c r="A98" s="547" t="s">
        <v>1263</v>
      </c>
    </row>
    <row r="99" spans="1:4">
      <c r="A99" s="994" t="s">
        <v>1261</v>
      </c>
    </row>
    <row r="100" spans="1:4">
      <c r="A100" s="994" t="s">
        <v>1271</v>
      </c>
    </row>
    <row r="101" spans="1:4">
      <c r="A101" s="106" t="s">
        <v>1264</v>
      </c>
      <c r="B101" s="616"/>
      <c r="C101" s="564"/>
      <c r="D101" s="564"/>
    </row>
    <row r="102" spans="1:4">
      <c r="A102" s="564" t="s">
        <v>1269</v>
      </c>
      <c r="B102" s="564"/>
      <c r="C102" s="564"/>
      <c r="D102" s="564"/>
    </row>
    <row r="103" spans="1:4">
      <c r="A103" s="106" t="s">
        <v>1265</v>
      </c>
      <c r="B103" s="564"/>
      <c r="C103" s="564"/>
      <c r="D103" s="564"/>
    </row>
    <row r="104" spans="1:4">
      <c r="A104" s="994" t="s">
        <v>1267</v>
      </c>
      <c r="B104" s="616"/>
      <c r="C104" s="564"/>
      <c r="D104" s="564"/>
    </row>
    <row r="105" spans="1:4">
      <c r="A105" s="997" t="s">
        <v>1268</v>
      </c>
      <c r="B105" s="564"/>
      <c r="C105" s="564"/>
      <c r="D105" s="564"/>
    </row>
    <row r="106" spans="1:4">
      <c r="A106" s="997" t="s">
        <v>1270</v>
      </c>
      <c r="B106" s="564"/>
      <c r="C106" s="564"/>
      <c r="D106" s="564"/>
    </row>
    <row r="107" spans="1:4">
      <c r="B107" s="564"/>
      <c r="C107" s="564"/>
      <c r="D107" s="564"/>
    </row>
    <row r="108" spans="1:4">
      <c r="A108" s="547" t="s">
        <v>1253</v>
      </c>
      <c r="B108" s="994" t="s">
        <v>1273</v>
      </c>
      <c r="C108" t="s">
        <v>1274</v>
      </c>
    </row>
    <row r="109" spans="1:4">
      <c r="A109" s="547" t="s">
        <v>1256</v>
      </c>
    </row>
    <row r="110" spans="1:4">
      <c r="A110" s="547" t="s">
        <v>1263</v>
      </c>
    </row>
    <row r="111" spans="1:4">
      <c r="A111" s="1004" t="s">
        <v>1272</v>
      </c>
    </row>
    <row r="113" spans="1:1">
      <c r="A113" s="547" t="s">
        <v>1275</v>
      </c>
    </row>
    <row r="114" spans="1:1">
      <c r="A114" s="1005" t="s">
        <v>1276</v>
      </c>
    </row>
    <row r="115" spans="1:1">
      <c r="A115" s="564" t="s">
        <v>1277</v>
      </c>
    </row>
    <row r="116" spans="1:1">
      <c r="A116" s="564" t="s">
        <v>1278</v>
      </c>
    </row>
    <row r="117" spans="1:1">
      <c r="A117" s="564" t="s">
        <v>1279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AP195"/>
  <sheetViews>
    <sheetView tabSelected="1" topLeftCell="E1" workbookViewId="0">
      <selection activeCell="L27" sqref="L27"/>
    </sheetView>
  </sheetViews>
  <sheetFormatPr baseColWidth="10" defaultRowHeight="14.25" outlineLevelRow="2" outlineLevelCol="1"/>
  <cols>
    <col min="1" max="1" width="11.42578125" style="71"/>
    <col min="2" max="2" width="18.28515625" style="71" customWidth="1"/>
    <col min="3" max="3" width="34.42578125" style="71" customWidth="1"/>
    <col min="4" max="4" width="22.7109375" style="71" customWidth="1"/>
    <col min="5" max="5" width="33.42578125" style="71" bestFit="1" customWidth="1"/>
    <col min="6" max="6" width="25.140625" style="71" customWidth="1"/>
    <col min="7" max="7" width="47.85546875" style="71" bestFit="1" customWidth="1"/>
    <col min="8" max="8" width="34" style="71" customWidth="1"/>
    <col min="9" max="9" width="50.85546875" style="71" bestFit="1" customWidth="1"/>
    <col min="10" max="10" width="44.5703125" style="71" customWidth="1"/>
    <col min="11" max="11" width="27.85546875" style="71" bestFit="1" customWidth="1"/>
    <col min="12" max="13" width="24" style="72" customWidth="1"/>
    <col min="14" max="16" width="19.7109375" style="72" customWidth="1"/>
    <col min="17" max="17" width="24.140625" style="71" customWidth="1" outlineLevel="1"/>
    <col min="18" max="18" width="24" style="71" customWidth="1" outlineLevel="1"/>
    <col min="19" max="19" width="20" style="72" customWidth="1" outlineLevel="1"/>
    <col min="20" max="20" width="20.5703125" style="71" customWidth="1" outlineLevel="1"/>
    <col min="21" max="21" width="17.42578125" style="71" customWidth="1" outlineLevel="1"/>
    <col min="22" max="22" width="18.5703125" style="71" customWidth="1" outlineLevel="1"/>
    <col min="23" max="23" width="55.7109375" style="71" customWidth="1" outlineLevel="1"/>
    <col min="24" max="24" width="13.5703125" style="71" bestFit="1" customWidth="1" outlineLevel="1"/>
    <col min="25" max="25" width="47.28515625" style="71" customWidth="1" outlineLevel="1"/>
    <col min="26" max="26" width="25.42578125" style="71" customWidth="1"/>
    <col min="27" max="27" width="16.85546875" style="71" bestFit="1" customWidth="1"/>
    <col min="28" max="28" width="12.42578125" style="71" bestFit="1" customWidth="1"/>
    <col min="29" max="29" width="16.28515625" style="71" customWidth="1"/>
    <col min="30" max="30" width="15" style="71" bestFit="1" customWidth="1"/>
    <col min="31" max="31" width="11.42578125" style="71"/>
    <col min="32" max="32" width="21" style="71" bestFit="1" customWidth="1"/>
    <col min="33" max="33" width="18.28515625" style="71" bestFit="1" customWidth="1"/>
    <col min="34" max="34" width="9.7109375" style="71" bestFit="1" customWidth="1"/>
    <col min="35" max="35" width="12.5703125" style="71" bestFit="1" customWidth="1"/>
    <col min="36" max="36" width="13.85546875" style="71" bestFit="1" customWidth="1"/>
    <col min="37" max="37" width="16.7109375" style="71" bestFit="1" customWidth="1"/>
    <col min="38" max="38" width="16.28515625" style="71" bestFit="1" customWidth="1"/>
    <col min="39" max="16384" width="11.42578125" style="71"/>
  </cols>
  <sheetData>
    <row r="1" spans="2:19" ht="16.5" customHeight="1" thickBot="1">
      <c r="C1" s="240"/>
      <c r="D1" s="240"/>
      <c r="E1" s="240"/>
      <c r="F1" s="1042" t="s">
        <v>240</v>
      </c>
      <c r="G1" s="1043"/>
      <c r="H1" s="1043"/>
      <c r="I1" s="1043"/>
      <c r="J1" s="1043"/>
      <c r="K1" s="1044"/>
      <c r="L1" s="272"/>
    </row>
    <row r="2" spans="2:19" ht="16.5" customHeight="1">
      <c r="C2" s="176" t="s">
        <v>179</v>
      </c>
      <c r="D2" s="273"/>
      <c r="E2" s="240"/>
      <c r="F2" s="274" t="s">
        <v>265</v>
      </c>
      <c r="G2" s="186" t="s">
        <v>266</v>
      </c>
      <c r="H2" s="275" t="s">
        <v>145</v>
      </c>
      <c r="I2" s="274" t="s">
        <v>265</v>
      </c>
      <c r="J2" s="186" t="s">
        <v>266</v>
      </c>
      <c r="K2" s="276" t="s">
        <v>145</v>
      </c>
      <c r="L2" s="272"/>
      <c r="N2" s="1054"/>
      <c r="O2" s="1054"/>
      <c r="P2" s="1054"/>
    </row>
    <row r="3" spans="2:19" ht="16.5" customHeight="1">
      <c r="C3" s="177" t="s">
        <v>181</v>
      </c>
      <c r="D3" s="203"/>
      <c r="E3" s="240"/>
      <c r="F3" s="277" t="s">
        <v>363</v>
      </c>
      <c r="G3" s="683">
        <v>6</v>
      </c>
      <c r="H3" s="230" t="s">
        <v>241</v>
      </c>
      <c r="I3" s="277" t="s">
        <v>242</v>
      </c>
      <c r="J3" s="278">
        <v>15</v>
      </c>
      <c r="K3" s="279" t="s">
        <v>32</v>
      </c>
      <c r="L3" s="272"/>
      <c r="N3" s="91"/>
      <c r="O3" s="91"/>
      <c r="P3" s="79"/>
    </row>
    <row r="4" spans="2:19" ht="16.5" customHeight="1" thickBot="1">
      <c r="C4" s="178" t="s">
        <v>180</v>
      </c>
      <c r="D4" s="203"/>
      <c r="E4" s="240"/>
      <c r="F4" s="280" t="s">
        <v>30</v>
      </c>
      <c r="G4" s="684">
        <v>0.02</v>
      </c>
      <c r="H4" s="282" t="s">
        <v>31</v>
      </c>
      <c r="I4" s="283" t="s">
        <v>521</v>
      </c>
      <c r="J4" s="284">
        <v>0.04</v>
      </c>
      <c r="K4" s="285" t="s">
        <v>243</v>
      </c>
      <c r="L4" s="272"/>
      <c r="N4" s="91"/>
      <c r="O4" s="91"/>
      <c r="P4" s="79"/>
    </row>
    <row r="5" spans="2:19" ht="16.5" customHeight="1">
      <c r="C5" s="286"/>
      <c r="D5" s="286"/>
      <c r="E5" s="240"/>
      <c r="F5" s="240"/>
      <c r="G5" s="240"/>
      <c r="H5" s="240"/>
      <c r="I5" s="280" t="s">
        <v>35</v>
      </c>
      <c r="J5" s="287">
        <f>((1+J4)^J3*J4)/((1+J4)^J3-1)</f>
        <v>8.9941100370973137E-2</v>
      </c>
      <c r="K5" s="288" t="s">
        <v>243</v>
      </c>
      <c r="L5" s="272"/>
      <c r="N5" s="91"/>
      <c r="O5" s="78"/>
      <c r="P5" s="79"/>
    </row>
    <row r="6" spans="2:19" s="75" customFormat="1" ht="30" customHeight="1" thickBot="1">
      <c r="B6" s="73"/>
      <c r="C6" s="74" t="s">
        <v>244</v>
      </c>
      <c r="D6" s="289"/>
      <c r="E6" s="290"/>
      <c r="F6" s="290"/>
      <c r="G6" s="290"/>
      <c r="H6" s="290"/>
      <c r="I6" s="290"/>
      <c r="J6" s="290"/>
      <c r="K6" s="290"/>
      <c r="L6" s="291"/>
      <c r="M6" s="76"/>
      <c r="N6" s="74" t="s">
        <v>323</v>
      </c>
      <c r="P6" s="162"/>
      <c r="S6" s="76"/>
    </row>
    <row r="7" spans="2:19" ht="16.5" customHeight="1" outlineLevel="1" thickBot="1">
      <c r="C7" s="1022" t="s">
        <v>364</v>
      </c>
      <c r="D7" s="1045"/>
      <c r="E7" s="1045"/>
      <c r="F7" s="1023"/>
      <c r="G7" s="240"/>
      <c r="H7" s="240"/>
      <c r="I7" s="240"/>
      <c r="J7" s="240"/>
      <c r="K7" s="240"/>
      <c r="L7" s="272"/>
    </row>
    <row r="8" spans="2:19" ht="16.5" customHeight="1" outlineLevel="1">
      <c r="C8" s="1046" t="s">
        <v>163</v>
      </c>
      <c r="D8" s="1047"/>
      <c r="E8" s="1048" t="s">
        <v>162</v>
      </c>
      <c r="F8" s="1049"/>
      <c r="G8" s="240"/>
      <c r="H8" s="1024" t="s">
        <v>383</v>
      </c>
      <c r="I8" s="1025"/>
      <c r="J8" s="1026"/>
      <c r="K8" s="240"/>
      <c r="L8" s="272"/>
    </row>
    <row r="9" spans="2:19" ht="16.5" customHeight="1" outlineLevel="1">
      <c r="C9" s="292" t="s">
        <v>96</v>
      </c>
      <c r="D9" s="293">
        <v>32.06</v>
      </c>
      <c r="E9" s="242" t="s">
        <v>387</v>
      </c>
      <c r="F9" s="294">
        <f>D9+2*D12</f>
        <v>64.06</v>
      </c>
      <c r="G9" s="240"/>
      <c r="H9" s="158" t="s">
        <v>396</v>
      </c>
      <c r="I9" s="295">
        <v>1.2</v>
      </c>
      <c r="J9" s="159" t="s">
        <v>335</v>
      </c>
      <c r="K9" s="240"/>
      <c r="L9" s="272"/>
    </row>
    <row r="10" spans="2:19" ht="16.5" customHeight="1" outlineLevel="1" thickBot="1">
      <c r="C10" s="292" t="s">
        <v>95</v>
      </c>
      <c r="D10" s="293">
        <v>14</v>
      </c>
      <c r="E10" s="242" t="s">
        <v>388</v>
      </c>
      <c r="F10" s="294">
        <f>2*D10+D12</f>
        <v>44</v>
      </c>
      <c r="G10" s="240"/>
      <c r="H10" s="155" t="s">
        <v>384</v>
      </c>
      <c r="I10" s="440">
        <v>22.414000000000001</v>
      </c>
      <c r="J10" s="156" t="s">
        <v>385</v>
      </c>
      <c r="K10" s="240"/>
      <c r="L10" s="272"/>
    </row>
    <row r="11" spans="2:19" ht="16.5" customHeight="1" outlineLevel="1">
      <c r="C11" s="292" t="s">
        <v>72</v>
      </c>
      <c r="D11" s="293">
        <v>12</v>
      </c>
      <c r="E11" s="242" t="s">
        <v>389</v>
      </c>
      <c r="F11" s="294">
        <f>D11+2*D12</f>
        <v>44</v>
      </c>
      <c r="G11" s="240"/>
      <c r="H11" s="240"/>
      <c r="I11" s="240"/>
      <c r="J11" s="240"/>
      <c r="K11" s="240"/>
      <c r="L11" s="272"/>
    </row>
    <row r="12" spans="2:19" ht="16.5" customHeight="1" outlineLevel="1">
      <c r="C12" s="292" t="s">
        <v>73</v>
      </c>
      <c r="D12" s="293">
        <v>16</v>
      </c>
      <c r="E12" s="242" t="s">
        <v>390</v>
      </c>
      <c r="F12" s="294">
        <f>D10+3*D14</f>
        <v>17</v>
      </c>
      <c r="G12" s="240"/>
      <c r="H12" s="240"/>
      <c r="I12" s="240"/>
      <c r="J12" s="240"/>
      <c r="K12" s="240"/>
      <c r="L12" s="272"/>
    </row>
    <row r="13" spans="2:19" ht="16.5" customHeight="1" outlineLevel="1">
      <c r="C13" s="292" t="s">
        <v>74</v>
      </c>
      <c r="D13" s="293">
        <v>40</v>
      </c>
      <c r="E13" s="242" t="s">
        <v>46</v>
      </c>
      <c r="F13" s="294">
        <f>D11+D12+2*D10+4*D14</f>
        <v>60</v>
      </c>
      <c r="G13" s="240"/>
      <c r="H13" s="240"/>
      <c r="I13" s="240"/>
      <c r="J13" s="240"/>
      <c r="K13" s="240"/>
      <c r="L13" s="272"/>
    </row>
    <row r="14" spans="2:19" ht="16.5" customHeight="1" outlineLevel="1">
      <c r="C14" s="292" t="s">
        <v>93</v>
      </c>
      <c r="D14" s="293">
        <v>1</v>
      </c>
      <c r="E14" s="242" t="s">
        <v>391</v>
      </c>
      <c r="F14" s="294">
        <f>D13+D9+4*D12+2*(D12+2*D14)</f>
        <v>172.06</v>
      </c>
      <c r="G14" s="240"/>
      <c r="H14" s="240"/>
      <c r="I14" s="240"/>
      <c r="J14" s="240"/>
      <c r="K14" s="240"/>
      <c r="L14" s="272"/>
    </row>
    <row r="15" spans="2:19" ht="16.5" customHeight="1" outlineLevel="1">
      <c r="C15" s="292"/>
      <c r="D15" s="293"/>
      <c r="E15" s="242" t="s">
        <v>392</v>
      </c>
      <c r="F15" s="294">
        <f>D13+D11+3*D12</f>
        <v>100</v>
      </c>
      <c r="G15" s="240"/>
      <c r="H15" s="240"/>
      <c r="I15" s="240"/>
      <c r="J15" s="240"/>
      <c r="K15" s="240"/>
      <c r="L15" s="272"/>
    </row>
    <row r="16" spans="2:19" ht="16.5" customHeight="1" outlineLevel="1" thickBot="1">
      <c r="C16" s="296"/>
      <c r="D16" s="297"/>
      <c r="E16" s="235" t="s">
        <v>393</v>
      </c>
      <c r="F16" s="298">
        <f>D12+2*D14</f>
        <v>18</v>
      </c>
      <c r="G16" s="240"/>
      <c r="H16" s="240"/>
      <c r="I16" s="240"/>
      <c r="J16" s="240"/>
      <c r="K16" s="240"/>
      <c r="L16" s="272"/>
    </row>
    <row r="17" spans="2:19" ht="16.5" customHeight="1" outlineLevel="1">
      <c r="C17" s="286"/>
      <c r="D17" s="286"/>
      <c r="E17" s="295"/>
      <c r="F17" s="295"/>
      <c r="G17" s="240"/>
      <c r="H17" s="240"/>
      <c r="I17" s="240"/>
      <c r="J17" s="240"/>
      <c r="K17" s="240"/>
      <c r="L17" s="272"/>
    </row>
    <row r="18" spans="2:19" s="75" customFormat="1" ht="30" customHeight="1">
      <c r="B18" s="73"/>
      <c r="C18" s="74" t="s">
        <v>245</v>
      </c>
      <c r="D18" s="289"/>
      <c r="E18" s="290"/>
      <c r="F18" s="290"/>
      <c r="G18" s="290"/>
      <c r="H18" s="290"/>
      <c r="I18" s="290"/>
      <c r="J18" s="290"/>
      <c r="K18" s="290"/>
      <c r="L18" s="291"/>
      <c r="M18" s="76"/>
      <c r="N18" s="74" t="s">
        <v>322</v>
      </c>
      <c r="O18" s="76"/>
      <c r="P18" s="76"/>
      <c r="S18" s="76"/>
    </row>
    <row r="19" spans="2:19" ht="16.5" customHeight="1" outlineLevel="1" thickBot="1">
      <c r="C19" s="286"/>
      <c r="D19" s="286"/>
      <c r="E19" s="240"/>
      <c r="F19" s="240"/>
      <c r="G19" s="240"/>
      <c r="H19" s="240"/>
      <c r="I19" s="240"/>
      <c r="J19" s="240"/>
      <c r="K19" s="240"/>
      <c r="L19" s="272"/>
    </row>
    <row r="20" spans="2:19" ht="16.5" customHeight="1" outlineLevel="1">
      <c r="C20" s="299" t="s">
        <v>365</v>
      </c>
      <c r="D20" s="300">
        <v>1250</v>
      </c>
      <c r="E20" s="301" t="s">
        <v>366</v>
      </c>
      <c r="F20" s="240"/>
      <c r="G20" s="240"/>
      <c r="H20" s="240"/>
      <c r="I20" s="240"/>
      <c r="J20" s="240"/>
      <c r="K20" s="240"/>
      <c r="L20" s="272"/>
      <c r="N20" s="1066" t="s">
        <v>386</v>
      </c>
      <c r="O20" s="1067"/>
      <c r="P20" s="1067"/>
      <c r="Q20" s="1067"/>
      <c r="R20" s="1068"/>
    </row>
    <row r="21" spans="2:19" ht="16.5" customHeight="1" outlineLevel="1" thickBot="1">
      <c r="C21" s="155" t="s">
        <v>397</v>
      </c>
      <c r="D21" s="302">
        <v>40</v>
      </c>
      <c r="E21" s="156" t="s">
        <v>90</v>
      </c>
      <c r="F21" s="240"/>
      <c r="G21" s="240"/>
      <c r="H21" s="240"/>
      <c r="I21" s="240"/>
      <c r="J21" s="240"/>
      <c r="K21" s="240"/>
      <c r="L21" s="272"/>
      <c r="N21" s="1069" t="s">
        <v>0</v>
      </c>
      <c r="O21" s="1070"/>
      <c r="P21" s="1070"/>
      <c r="Q21" s="1070"/>
      <c r="R21" s="1071"/>
    </row>
    <row r="22" spans="2:19" ht="16.5" customHeight="1" outlineLevel="1" thickBot="1">
      <c r="C22" s="286"/>
      <c r="D22" s="286"/>
      <c r="E22" s="240"/>
      <c r="F22" s="240"/>
      <c r="G22" s="240"/>
      <c r="H22" s="240"/>
      <c r="I22" s="240"/>
      <c r="J22" s="240"/>
      <c r="K22" s="240"/>
      <c r="L22" s="272"/>
      <c r="N22" s="318"/>
      <c r="O22" s="1064" t="s">
        <v>75</v>
      </c>
      <c r="P22" s="1065"/>
      <c r="Q22" s="1064" t="s">
        <v>76</v>
      </c>
      <c r="R22" s="1021"/>
    </row>
    <row r="23" spans="2:19" ht="16.5" customHeight="1" outlineLevel="1">
      <c r="C23" s="1024" t="s">
        <v>247</v>
      </c>
      <c r="D23" s="1025"/>
      <c r="E23" s="1026"/>
      <c r="F23" s="240"/>
      <c r="G23" s="240"/>
      <c r="H23" s="240"/>
      <c r="I23" s="240"/>
      <c r="J23" s="240"/>
      <c r="K23" s="240"/>
      <c r="L23" s="272"/>
      <c r="N23" s="318"/>
      <c r="O23" s="319" t="s">
        <v>77</v>
      </c>
      <c r="P23" s="320" t="s">
        <v>78</v>
      </c>
      <c r="Q23" s="319" t="s">
        <v>77</v>
      </c>
      <c r="R23" s="187" t="s">
        <v>78</v>
      </c>
    </row>
    <row r="24" spans="2:19" ht="16.5" customHeight="1" outlineLevel="1">
      <c r="C24" s="158" t="s">
        <v>408</v>
      </c>
      <c r="D24" s="265">
        <v>600</v>
      </c>
      <c r="E24" s="159" t="s">
        <v>409</v>
      </c>
      <c r="F24" s="240"/>
      <c r="G24" s="240"/>
      <c r="H24" s="240"/>
      <c r="I24" s="240"/>
      <c r="J24" s="240"/>
      <c r="K24" s="240"/>
      <c r="L24" s="272"/>
      <c r="N24" s="318" t="s">
        <v>79</v>
      </c>
      <c r="O24" s="321" t="s">
        <v>65</v>
      </c>
      <c r="P24" s="322" t="s">
        <v>67</v>
      </c>
      <c r="Q24" s="321" t="s">
        <v>66</v>
      </c>
      <c r="R24" s="441" t="s">
        <v>66</v>
      </c>
    </row>
    <row r="25" spans="2:19" ht="16.5" customHeight="1" outlineLevel="1" thickBot="1">
      <c r="C25" s="1027" t="s">
        <v>246</v>
      </c>
      <c r="D25" s="1028"/>
      <c r="E25" s="1029"/>
      <c r="F25" s="240"/>
      <c r="G25" s="240"/>
      <c r="H25" s="240"/>
      <c r="I25" s="240"/>
      <c r="J25" s="240"/>
      <c r="K25" s="240"/>
      <c r="L25" s="272"/>
      <c r="N25" s="318" t="s">
        <v>80</v>
      </c>
      <c r="O25" s="321" t="s">
        <v>67</v>
      </c>
      <c r="P25" s="322" t="s">
        <v>68</v>
      </c>
      <c r="Q25" s="321" t="s">
        <v>70</v>
      </c>
      <c r="R25" s="441" t="s">
        <v>70</v>
      </c>
    </row>
    <row r="26" spans="2:19" ht="16.5" customHeight="1" outlineLevel="1" thickBot="1">
      <c r="C26" s="240"/>
      <c r="D26" s="240"/>
      <c r="E26" s="240"/>
      <c r="F26" s="240"/>
      <c r="G26" s="240"/>
      <c r="H26" s="240"/>
      <c r="I26" s="240"/>
      <c r="J26" s="240"/>
      <c r="K26" s="240"/>
      <c r="L26" s="272"/>
      <c r="N26" s="323" t="s">
        <v>81</v>
      </c>
      <c r="O26" s="324" t="s">
        <v>68</v>
      </c>
      <c r="P26" s="325" t="s">
        <v>69</v>
      </c>
      <c r="Q26" s="324" t="s">
        <v>71</v>
      </c>
      <c r="R26" s="442" t="s">
        <v>71</v>
      </c>
    </row>
    <row r="27" spans="2:19" ht="16.5" customHeight="1" outlineLevel="1">
      <c r="C27" s="240"/>
      <c r="D27" s="240"/>
      <c r="E27" s="240"/>
      <c r="F27" s="240"/>
      <c r="G27" s="240"/>
      <c r="H27" s="242"/>
      <c r="I27" s="203"/>
      <c r="J27" s="203"/>
      <c r="K27" s="303"/>
      <c r="L27" s="303"/>
      <c r="M27" s="120"/>
      <c r="N27" s="303"/>
      <c r="O27" s="303"/>
      <c r="P27" s="303"/>
      <c r="Q27" s="240"/>
      <c r="R27" s="240"/>
    </row>
    <row r="28" spans="2:19" s="75" customFormat="1" ht="30" customHeight="1">
      <c r="B28" s="73"/>
      <c r="C28" s="74" t="s">
        <v>251</v>
      </c>
      <c r="D28" s="121"/>
      <c r="E28" s="121"/>
      <c r="F28" s="121"/>
      <c r="G28" s="121"/>
      <c r="H28" s="121"/>
      <c r="I28" s="121"/>
      <c r="J28" s="121"/>
      <c r="K28" s="121"/>
      <c r="L28" s="121"/>
      <c r="M28" s="121"/>
      <c r="N28" s="74" t="s">
        <v>324</v>
      </c>
      <c r="O28" s="121"/>
      <c r="P28" s="121"/>
      <c r="Q28" s="121"/>
      <c r="R28" s="290"/>
      <c r="S28" s="76"/>
    </row>
    <row r="29" spans="2:19" s="93" customFormat="1" ht="16.5" customHeight="1" outlineLevel="1" thickBot="1">
      <c r="B29" s="122"/>
      <c r="C29" s="123"/>
      <c r="D29" s="124"/>
      <c r="E29" s="124"/>
      <c r="F29" s="124"/>
      <c r="G29" s="124"/>
      <c r="H29" s="124"/>
      <c r="I29" s="124"/>
      <c r="J29" s="124"/>
      <c r="K29" s="124"/>
      <c r="L29" s="124"/>
      <c r="M29" s="124"/>
      <c r="N29" s="124"/>
      <c r="O29" s="124"/>
      <c r="P29" s="124"/>
      <c r="Q29" s="124"/>
      <c r="R29" s="125"/>
      <c r="S29" s="97"/>
    </row>
    <row r="30" spans="2:19" s="93" customFormat="1" ht="16.5" customHeight="1" outlineLevel="1">
      <c r="B30" s="122"/>
      <c r="C30" s="1022" t="s">
        <v>253</v>
      </c>
      <c r="D30" s="1023"/>
      <c r="E30" s="124"/>
      <c r="F30" s="1050" t="s">
        <v>331</v>
      </c>
      <c r="G30" s="1051"/>
      <c r="H30" s="1052"/>
      <c r="I30" s="124"/>
      <c r="J30" s="1050" t="s">
        <v>45</v>
      </c>
      <c r="K30" s="1051"/>
      <c r="L30" s="1052"/>
      <c r="N30" s="1022" t="s">
        <v>255</v>
      </c>
      <c r="O30" s="1023"/>
      <c r="P30" s="124"/>
      <c r="Q30" s="125"/>
      <c r="R30" s="125"/>
      <c r="S30" s="97"/>
    </row>
    <row r="31" spans="2:19" s="93" customFormat="1" ht="16.5" customHeight="1" outlineLevel="1">
      <c r="B31" s="122"/>
      <c r="C31" s="292" t="s">
        <v>63</v>
      </c>
      <c r="D31" s="699" t="s">
        <v>95</v>
      </c>
      <c r="E31" s="125" t="s">
        <v>85</v>
      </c>
      <c r="F31" s="1053" t="s">
        <v>107</v>
      </c>
      <c r="G31" s="265">
        <v>100</v>
      </c>
      <c r="H31" s="159" t="s">
        <v>87</v>
      </c>
      <c r="I31" s="124"/>
      <c r="J31" s="158" t="s">
        <v>161</v>
      </c>
      <c r="K31" s="265">
        <v>450</v>
      </c>
      <c r="L31" s="159" t="s">
        <v>38</v>
      </c>
      <c r="N31" s="318" t="s">
        <v>127</v>
      </c>
      <c r="O31" s="326" t="s">
        <v>128</v>
      </c>
      <c r="P31" s="124"/>
      <c r="Q31" s="125"/>
      <c r="R31" s="125"/>
      <c r="S31" s="97"/>
    </row>
    <row r="32" spans="2:19" s="93" customFormat="1" ht="16.5" customHeight="1" outlineLevel="1">
      <c r="B32" s="122"/>
      <c r="C32" s="292" t="s">
        <v>166</v>
      </c>
      <c r="D32" s="648">
        <v>0</v>
      </c>
      <c r="E32" s="125" t="s">
        <v>254</v>
      </c>
      <c r="F32" s="1053"/>
      <c r="G32" s="265"/>
      <c r="H32" s="159" t="s">
        <v>88</v>
      </c>
      <c r="I32" s="124"/>
      <c r="J32" s="158" t="s">
        <v>46</v>
      </c>
      <c r="K32" s="265">
        <v>220</v>
      </c>
      <c r="L32" s="159" t="s">
        <v>38</v>
      </c>
      <c r="N32" s="318" t="s">
        <v>129</v>
      </c>
      <c r="O32" s="326" t="s">
        <v>130</v>
      </c>
      <c r="P32" s="124"/>
      <c r="Q32" s="125"/>
      <c r="R32" s="125"/>
      <c r="S32" s="97"/>
    </row>
    <row r="33" spans="2:19" s="93" customFormat="1" ht="16.5" customHeight="1" outlineLevel="1" thickBot="1">
      <c r="B33" s="122"/>
      <c r="C33" s="304" t="s">
        <v>252</v>
      </c>
      <c r="D33" s="305">
        <f>IF(D31="N",100,100-D32)</f>
        <v>100</v>
      </c>
      <c r="E33" s="125" t="s">
        <v>254</v>
      </c>
      <c r="F33" s="158" t="s">
        <v>108</v>
      </c>
      <c r="G33" s="306">
        <f>IF(G31=0,G32/8760*100,G31)</f>
        <v>100</v>
      </c>
      <c r="H33" s="159" t="s">
        <v>87</v>
      </c>
      <c r="I33" s="124"/>
      <c r="J33" s="158" t="s">
        <v>47</v>
      </c>
      <c r="K33" s="265">
        <v>60</v>
      </c>
      <c r="L33" s="159" t="s">
        <v>48</v>
      </c>
      <c r="N33" s="318" t="s">
        <v>131</v>
      </c>
      <c r="O33" s="326" t="s">
        <v>132</v>
      </c>
      <c r="P33" s="124"/>
      <c r="Q33" s="125"/>
      <c r="R33" s="125"/>
      <c r="S33" s="97"/>
    </row>
    <row r="34" spans="2:19" s="93" customFormat="1" ht="16.5" customHeight="1" outlineLevel="1" thickBot="1">
      <c r="B34" s="122"/>
      <c r="C34" s="242"/>
      <c r="D34" s="307"/>
      <c r="E34" s="125"/>
      <c r="F34" s="1027" t="s">
        <v>246</v>
      </c>
      <c r="G34" s="1028"/>
      <c r="H34" s="1029"/>
      <c r="I34" s="124"/>
      <c r="J34" s="308" t="s">
        <v>520</v>
      </c>
      <c r="K34" s="309">
        <v>4.1399999999999999E-2</v>
      </c>
      <c r="L34" s="156" t="s">
        <v>20</v>
      </c>
      <c r="M34" s="124"/>
      <c r="N34" s="323" t="s">
        <v>1157</v>
      </c>
      <c r="O34" s="327" t="s">
        <v>133</v>
      </c>
      <c r="P34" s="124"/>
      <c r="Q34" s="125"/>
      <c r="R34" s="125"/>
      <c r="S34" s="97"/>
    </row>
    <row r="35" spans="2:19" s="93" customFormat="1" ht="16.5" customHeight="1" outlineLevel="1" thickBot="1">
      <c r="B35" s="122"/>
      <c r="C35" s="242"/>
      <c r="D35" s="307"/>
      <c r="E35" s="125"/>
      <c r="F35" s="295"/>
      <c r="G35" s="310"/>
      <c r="H35" s="295"/>
      <c r="I35" s="124"/>
      <c r="J35" s="308" t="s">
        <v>520</v>
      </c>
      <c r="K35" s="622">
        <f>0.000117/(1000*1.7*2.49)</f>
        <v>2.7639971651311127E-8</v>
      </c>
      <c r="L35" s="156" t="s">
        <v>459</v>
      </c>
      <c r="M35" s="124"/>
      <c r="N35" s="269" t="s">
        <v>134</v>
      </c>
      <c r="O35" s="242"/>
      <c r="P35" s="124"/>
      <c r="Q35" s="125"/>
      <c r="R35" s="125"/>
      <c r="S35" s="97"/>
    </row>
    <row r="36" spans="2:19" s="93" customFormat="1" ht="16.5" customHeight="1" outlineLevel="1">
      <c r="B36" s="122"/>
      <c r="C36" s="123"/>
      <c r="D36" s="124"/>
      <c r="E36" s="124"/>
      <c r="F36" s="125"/>
      <c r="G36" s="125"/>
      <c r="H36" s="124"/>
      <c r="I36" s="124"/>
      <c r="J36" s="124"/>
      <c r="K36" s="124"/>
      <c r="L36" s="124"/>
      <c r="M36" s="124"/>
      <c r="N36" s="124"/>
      <c r="O36" s="124"/>
      <c r="P36" s="124"/>
      <c r="Q36" s="124"/>
      <c r="R36" s="125"/>
      <c r="S36" s="97"/>
    </row>
    <row r="37" spans="2:19" s="75" customFormat="1" ht="30" customHeight="1">
      <c r="B37" s="73"/>
      <c r="C37" s="74" t="s">
        <v>249</v>
      </c>
      <c r="D37" s="121"/>
      <c r="E37" s="121"/>
      <c r="F37" s="121"/>
      <c r="G37" s="121"/>
      <c r="H37" s="121"/>
      <c r="I37" s="121"/>
      <c r="J37" s="121"/>
      <c r="K37" s="121"/>
      <c r="L37" s="121"/>
      <c r="M37" s="121"/>
      <c r="N37" s="74" t="s">
        <v>325</v>
      </c>
      <c r="O37" s="121"/>
      <c r="P37" s="121"/>
      <c r="Q37" s="121"/>
      <c r="R37" s="290"/>
      <c r="S37" s="76"/>
    </row>
    <row r="38" spans="2:19" ht="16.5" customHeight="1" outlineLevel="2" thickBot="1">
      <c r="C38" s="240"/>
      <c r="D38" s="240"/>
      <c r="E38" s="240"/>
      <c r="F38" s="240"/>
      <c r="G38" s="240"/>
      <c r="H38" s="240"/>
      <c r="I38" s="240"/>
      <c r="J38" s="240"/>
      <c r="K38" s="240"/>
      <c r="L38" s="272"/>
      <c r="N38" s="272"/>
      <c r="O38" s="272"/>
      <c r="P38" s="272"/>
      <c r="Q38" s="240"/>
      <c r="R38" s="240"/>
    </row>
    <row r="39" spans="2:19" ht="16.5" customHeight="1" outlineLevel="2">
      <c r="C39" s="1050" t="s">
        <v>250</v>
      </c>
      <c r="D39" s="1051"/>
      <c r="E39" s="1052"/>
      <c r="F39" s="240"/>
      <c r="G39" s="240"/>
      <c r="H39" s="240"/>
      <c r="I39" s="240"/>
      <c r="J39" s="240"/>
      <c r="K39" s="311"/>
      <c r="L39" s="272"/>
      <c r="N39" s="1022" t="s">
        <v>398</v>
      </c>
      <c r="O39" s="1023"/>
      <c r="P39" s="272"/>
      <c r="Q39" s="240"/>
      <c r="R39" s="240"/>
    </row>
    <row r="40" spans="2:19" ht="16.5" customHeight="1" outlineLevel="2">
      <c r="C40" s="312" t="s">
        <v>399</v>
      </c>
      <c r="D40" s="313">
        <v>1.2</v>
      </c>
      <c r="E40" s="314" t="s">
        <v>329</v>
      </c>
      <c r="F40" s="240"/>
      <c r="G40" s="240"/>
      <c r="H40" s="240"/>
      <c r="I40" s="240"/>
      <c r="J40" s="240"/>
      <c r="K40" s="311"/>
      <c r="L40" s="272"/>
      <c r="N40" s="130" t="s">
        <v>353</v>
      </c>
      <c r="O40" s="328" t="s">
        <v>358</v>
      </c>
      <c r="P40" s="272"/>
      <c r="Q40" s="240"/>
      <c r="R40" s="240"/>
    </row>
    <row r="41" spans="2:19" ht="16.5" customHeight="1" outlineLevel="2">
      <c r="C41" s="158" t="s">
        <v>367</v>
      </c>
      <c r="D41" s="265">
        <v>2</v>
      </c>
      <c r="E41" s="159" t="s">
        <v>248</v>
      </c>
      <c r="F41" s="240"/>
      <c r="G41" s="240"/>
      <c r="H41" s="240"/>
      <c r="I41" s="240"/>
      <c r="J41" s="240"/>
      <c r="K41" s="315"/>
      <c r="L41" s="272"/>
      <c r="N41" s="130" t="s">
        <v>354</v>
      </c>
      <c r="O41" s="328" t="s">
        <v>359</v>
      </c>
      <c r="P41" s="272"/>
      <c r="Q41" s="240"/>
      <c r="R41" s="240"/>
    </row>
    <row r="42" spans="2:19" ht="16.5" customHeight="1" outlineLevel="2">
      <c r="C42" s="158" t="s">
        <v>105</v>
      </c>
      <c r="D42" s="265">
        <v>5</v>
      </c>
      <c r="E42" s="159" t="s">
        <v>104</v>
      </c>
      <c r="F42" s="240"/>
      <c r="G42" s="240"/>
      <c r="H42" s="240"/>
      <c r="I42" s="240"/>
      <c r="J42" s="240"/>
      <c r="K42" s="242"/>
      <c r="L42" s="272"/>
      <c r="N42" s="130" t="s">
        <v>258</v>
      </c>
      <c r="O42" s="328"/>
      <c r="P42" s="272"/>
      <c r="Q42" s="240"/>
      <c r="R42" s="240"/>
    </row>
    <row r="43" spans="2:19" ht="16.5" customHeight="1" outlineLevel="2" thickBot="1">
      <c r="C43" s="155" t="s">
        <v>106</v>
      </c>
      <c r="D43" s="316">
        <v>0</v>
      </c>
      <c r="E43" s="156" t="s">
        <v>103</v>
      </c>
      <c r="F43" s="240"/>
      <c r="G43" s="240"/>
      <c r="H43" s="240"/>
      <c r="I43" s="240"/>
      <c r="J43" s="240"/>
      <c r="K43" s="242"/>
      <c r="L43" s="272"/>
      <c r="N43" s="329" t="s">
        <v>355</v>
      </c>
      <c r="O43" s="328" t="s">
        <v>360</v>
      </c>
      <c r="P43" s="272"/>
      <c r="Q43" s="240"/>
      <c r="R43" s="240"/>
    </row>
    <row r="44" spans="2:19" ht="16.5" customHeight="1" outlineLevel="2" thickBot="1">
      <c r="C44" s="240"/>
      <c r="D44" s="240"/>
      <c r="E44" s="240"/>
      <c r="F44" s="240"/>
      <c r="G44" s="240"/>
      <c r="H44" s="240"/>
      <c r="I44" s="240"/>
      <c r="J44" s="240"/>
      <c r="K44" s="242"/>
      <c r="L44" s="272"/>
      <c r="N44" s="329" t="s">
        <v>356</v>
      </c>
      <c r="O44" s="328" t="s">
        <v>361</v>
      </c>
      <c r="P44" s="272"/>
      <c r="Q44" s="240"/>
      <c r="R44" s="240"/>
    </row>
    <row r="45" spans="2:19" ht="16.5" customHeight="1" outlineLevel="2" thickBot="1">
      <c r="C45" s="1030" t="s">
        <v>257</v>
      </c>
      <c r="D45" s="1031"/>
      <c r="E45" s="1032"/>
      <c r="F45" s="240"/>
      <c r="G45" s="240"/>
      <c r="H45" s="240"/>
      <c r="I45" s="240"/>
      <c r="J45" s="240"/>
      <c r="K45" s="242"/>
      <c r="L45" s="272"/>
      <c r="N45" s="330" t="s">
        <v>357</v>
      </c>
      <c r="O45" s="298" t="s">
        <v>362</v>
      </c>
      <c r="P45" s="272"/>
      <c r="Q45" s="240"/>
      <c r="R45" s="240"/>
    </row>
    <row r="46" spans="2:19" ht="16.5" customHeight="1" outlineLevel="2">
      <c r="C46" s="158" t="s">
        <v>258</v>
      </c>
      <c r="D46" s="595" t="s">
        <v>443</v>
      </c>
      <c r="E46" s="159" t="s">
        <v>271</v>
      </c>
      <c r="F46" s="240"/>
      <c r="G46" s="240"/>
      <c r="H46" s="240"/>
      <c r="I46" s="240"/>
      <c r="J46" s="240"/>
      <c r="K46" s="242"/>
      <c r="L46" s="272"/>
      <c r="N46" s="331"/>
      <c r="O46" s="272"/>
      <c r="P46" s="272"/>
      <c r="Q46" s="240"/>
      <c r="R46" s="240"/>
    </row>
    <row r="47" spans="2:19" ht="16.5" customHeight="1" outlineLevel="2" thickBot="1">
      <c r="C47" s="155" t="s">
        <v>259</v>
      </c>
      <c r="D47" s="317" t="s">
        <v>1037</v>
      </c>
      <c r="E47" s="156" t="s">
        <v>271</v>
      </c>
      <c r="F47" s="240"/>
      <c r="G47" s="240"/>
      <c r="H47" s="240"/>
      <c r="I47" s="240"/>
      <c r="J47" s="240"/>
      <c r="K47" s="242"/>
      <c r="L47" s="272"/>
      <c r="N47" s="272"/>
      <c r="O47" s="272"/>
      <c r="P47" s="272"/>
      <c r="Q47" s="240"/>
      <c r="R47" s="240"/>
    </row>
    <row r="48" spans="2:19" ht="16.5" customHeight="1" outlineLevel="2">
      <c r="K48" s="79"/>
    </row>
    <row r="49" spans="2:19" s="126" customFormat="1" ht="30" customHeight="1" outlineLevel="1">
      <c r="C49" s="128"/>
      <c r="D49" s="129" t="s">
        <v>256</v>
      </c>
      <c r="F49" s="153"/>
      <c r="G49" s="153"/>
      <c r="H49" s="153"/>
      <c r="I49" s="153"/>
      <c r="J49" s="153"/>
      <c r="K49" s="153"/>
      <c r="L49" s="127"/>
      <c r="M49" s="127"/>
      <c r="N49" s="129"/>
      <c r="O49" s="127"/>
      <c r="P49" s="127"/>
      <c r="S49" s="127"/>
    </row>
    <row r="50" spans="2:19" s="93" customFormat="1" ht="16.5" customHeight="1" outlineLevel="2" thickBot="1">
      <c r="C50" s="122"/>
      <c r="D50" s="123"/>
      <c r="F50" s="131"/>
      <c r="G50" s="131"/>
      <c r="H50" s="131"/>
      <c r="I50" s="131"/>
      <c r="J50" s="131"/>
      <c r="K50" s="131"/>
      <c r="L50" s="97"/>
      <c r="M50" s="97"/>
      <c r="N50" s="97"/>
      <c r="O50" s="97"/>
      <c r="P50" s="97"/>
      <c r="S50" s="97"/>
    </row>
    <row r="51" spans="2:19" ht="16.5" customHeight="1" outlineLevel="2">
      <c r="B51" s="79"/>
      <c r="C51" s="1050" t="s">
        <v>86</v>
      </c>
      <c r="D51" s="1051"/>
      <c r="E51" s="1052"/>
      <c r="F51" s="242"/>
      <c r="G51" s="1050" t="s">
        <v>29</v>
      </c>
      <c r="H51" s="1051"/>
      <c r="I51" s="1052"/>
      <c r="J51" s="79"/>
      <c r="K51" s="79"/>
    </row>
    <row r="52" spans="2:19" ht="16.5" customHeight="1" outlineLevel="2">
      <c r="C52" s="130" t="s">
        <v>378</v>
      </c>
      <c r="D52" s="264">
        <v>29.3</v>
      </c>
      <c r="E52" s="159" t="s">
        <v>100</v>
      </c>
      <c r="F52" s="240"/>
      <c r="G52" s="130" t="s">
        <v>378</v>
      </c>
      <c r="H52" s="264">
        <v>10</v>
      </c>
      <c r="I52" s="159" t="s">
        <v>89</v>
      </c>
    </row>
    <row r="53" spans="2:19" ht="18.75" outlineLevel="2">
      <c r="C53" s="130" t="s">
        <v>368</v>
      </c>
      <c r="D53" s="266">
        <v>1</v>
      </c>
      <c r="E53" s="159" t="s">
        <v>109</v>
      </c>
      <c r="F53" s="240"/>
      <c r="G53" s="130" t="s">
        <v>368</v>
      </c>
      <c r="H53" s="265">
        <v>0.1</v>
      </c>
      <c r="I53" s="159" t="s">
        <v>109</v>
      </c>
    </row>
    <row r="54" spans="2:19" ht="18.75" outlineLevel="2">
      <c r="C54" s="130" t="s">
        <v>369</v>
      </c>
      <c r="D54" s="266">
        <v>14.49</v>
      </c>
      <c r="E54" s="159" t="s">
        <v>91</v>
      </c>
      <c r="F54" s="240"/>
      <c r="G54" s="130" t="s">
        <v>369</v>
      </c>
      <c r="H54" s="265">
        <v>2</v>
      </c>
      <c r="I54" s="159" t="s">
        <v>91</v>
      </c>
    </row>
    <row r="55" spans="2:19" ht="18.75" outlineLevel="2">
      <c r="C55" s="130" t="s">
        <v>370</v>
      </c>
      <c r="D55" s="265">
        <v>7.71</v>
      </c>
      <c r="E55" s="159" t="s">
        <v>110</v>
      </c>
      <c r="F55" s="240"/>
      <c r="G55" s="130" t="s">
        <v>370</v>
      </c>
      <c r="H55" s="265">
        <v>25</v>
      </c>
      <c r="I55" s="159" t="s">
        <v>110</v>
      </c>
    </row>
    <row r="56" spans="2:19" ht="18.75" outlineLevel="2">
      <c r="C56" s="130" t="s">
        <v>371</v>
      </c>
      <c r="D56" s="267">
        <f>0.2377*D52+0.449+(D55/F16+W80/2)*0.22414</f>
        <v>7.9511864891527333</v>
      </c>
      <c r="E56" s="159" t="s">
        <v>347</v>
      </c>
      <c r="F56" s="240"/>
      <c r="G56" s="130" t="s">
        <v>371</v>
      </c>
      <c r="H56" s="267">
        <f>0.2377*H52+0.449+H55/F16*0.22414</f>
        <v>3.1373055555555553</v>
      </c>
      <c r="I56" s="159" t="s">
        <v>345</v>
      </c>
    </row>
    <row r="57" spans="2:19" ht="18.75" outlineLevel="2">
      <c r="C57" s="130" t="s">
        <v>372</v>
      </c>
      <c r="D57" s="267">
        <f>(D40-1)*(0.3163*D52+0.566)/I9</f>
        <v>1.6389316666666665</v>
      </c>
      <c r="E57" s="159" t="s">
        <v>336</v>
      </c>
      <c r="F57" s="240"/>
      <c r="G57" s="130" t="s">
        <v>372</v>
      </c>
      <c r="H57" s="267">
        <f>(D40-1)*(0.3163*H52+0.566)/I9</f>
        <v>0.62149999999999994</v>
      </c>
      <c r="I57" s="159" t="s">
        <v>350</v>
      </c>
    </row>
    <row r="58" spans="2:19" ht="16.5" outlineLevel="2">
      <c r="C58" s="130" t="s">
        <v>373</v>
      </c>
      <c r="D58" s="267">
        <f>(D55/F16+W80/2)*0.22414</f>
        <v>0.53757648915273337</v>
      </c>
      <c r="E58" s="159" t="s">
        <v>349</v>
      </c>
      <c r="F58" s="240"/>
      <c r="G58" s="130" t="s">
        <v>373</v>
      </c>
      <c r="H58" s="267">
        <f>(H55/F16+W80/2)*0.22414</f>
        <v>0.75287541137495562</v>
      </c>
      <c r="I58" s="159" t="s">
        <v>351</v>
      </c>
    </row>
    <row r="59" spans="2:19" ht="18.75" outlineLevel="2">
      <c r="C59" s="130" t="s">
        <v>401</v>
      </c>
      <c r="D59" s="267">
        <f>D56+D57-D58</f>
        <v>9.0525416666666665</v>
      </c>
      <c r="E59" s="249" t="s">
        <v>348</v>
      </c>
      <c r="F59" s="240"/>
      <c r="G59" s="130" t="s">
        <v>401</v>
      </c>
      <c r="H59" s="267">
        <f>H56+H57-H58</f>
        <v>3.0059301441805992</v>
      </c>
      <c r="I59" s="249" t="s">
        <v>346</v>
      </c>
    </row>
    <row r="60" spans="2:19" ht="18.75" outlineLevel="2">
      <c r="C60" s="130" t="s">
        <v>374</v>
      </c>
      <c r="D60" s="623">
        <f>D57*0.21/D59*100</f>
        <v>3.8019780816621473</v>
      </c>
      <c r="E60" s="249" t="s">
        <v>405</v>
      </c>
      <c r="F60" s="240"/>
      <c r="G60" s="130" t="s">
        <v>374</v>
      </c>
      <c r="H60" s="623">
        <f>H57*0.21/H59*100</f>
        <v>4.3419172681931268</v>
      </c>
      <c r="I60" s="249" t="s">
        <v>405</v>
      </c>
    </row>
    <row r="61" spans="2:19" ht="18.75" outlineLevel="2">
      <c r="C61" s="130" t="s">
        <v>375</v>
      </c>
      <c r="D61" s="253">
        <f>((21-G3)/(21-D60))</f>
        <v>0.87219332962972029</v>
      </c>
      <c r="E61" s="159" t="s">
        <v>406</v>
      </c>
      <c r="F61" s="240"/>
      <c r="G61" s="130" t="s">
        <v>375</v>
      </c>
      <c r="H61" s="253">
        <f>(21-G3)/(21-H60)</f>
        <v>0.90046377134140798</v>
      </c>
      <c r="I61" s="159" t="s">
        <v>406</v>
      </c>
    </row>
    <row r="62" spans="2:19" ht="18.75" outlineLevel="2">
      <c r="C62" s="268" t="s">
        <v>1052</v>
      </c>
      <c r="D62" s="256">
        <f>(D53*(100-D54-D55)/10^4)*10^6/$D9*$F9/D59*((100-$D43)/100)</f>
        <v>1717.2458711364818</v>
      </c>
      <c r="E62" s="245" t="s">
        <v>407</v>
      </c>
      <c r="F62" s="240"/>
      <c r="G62" s="268" t="s">
        <v>380</v>
      </c>
      <c r="H62" s="256">
        <f>(H53*(100-H54-H55)/10^4)*10^6/$D9*$F9/H59*((100-$D43)/100)</f>
        <v>485.25206563004144</v>
      </c>
      <c r="I62" s="245" t="s">
        <v>407</v>
      </c>
    </row>
    <row r="63" spans="2:19" ht="19.5" outlineLevel="2" thickBot="1">
      <c r="C63" s="270" t="s">
        <v>1053</v>
      </c>
      <c r="D63" s="257">
        <f>D54/(100-$D41)*10^6/D59*((100-$D42)/100)</f>
        <v>15516.55776758303</v>
      </c>
      <c r="E63" s="258" t="s">
        <v>407</v>
      </c>
      <c r="F63" s="240"/>
      <c r="G63" s="270" t="s">
        <v>381</v>
      </c>
      <c r="H63" s="257">
        <f>H54/(100-$D41)*10^6/H59*((100-$D42)/100)</f>
        <v>6449.8355490978365</v>
      </c>
      <c r="I63" s="258" t="s">
        <v>407</v>
      </c>
      <c r="J63" s="208"/>
    </row>
    <row r="64" spans="2:19" ht="15" customHeight="1" outlineLevel="2">
      <c r="C64" s="240"/>
      <c r="D64" s="240"/>
      <c r="E64" s="240"/>
      <c r="F64" s="240"/>
      <c r="G64" s="240"/>
      <c r="H64" s="271"/>
      <c r="I64" s="209"/>
    </row>
    <row r="65" spans="2:39" s="126" customFormat="1" ht="30" customHeight="1" outlineLevel="1">
      <c r="C65" s="129"/>
      <c r="D65" s="129" t="s">
        <v>263</v>
      </c>
      <c r="F65" s="153"/>
      <c r="G65" s="153"/>
      <c r="H65" s="153"/>
      <c r="I65" s="153"/>
      <c r="J65" s="153"/>
      <c r="K65" s="153"/>
      <c r="L65" s="127"/>
      <c r="M65" s="127"/>
      <c r="N65" s="129" t="s">
        <v>326</v>
      </c>
      <c r="O65" s="127"/>
      <c r="P65" s="127"/>
      <c r="S65" s="127"/>
    </row>
    <row r="66" spans="2:39" s="93" customFormat="1" ht="17.25" customHeight="1" outlineLevel="1" thickBot="1">
      <c r="C66" s="123"/>
      <c r="D66" s="123"/>
      <c r="F66" s="82"/>
      <c r="G66" s="82"/>
      <c r="H66" s="635"/>
      <c r="I66" s="82"/>
      <c r="J66" s="82"/>
      <c r="K66" s="82"/>
      <c r="L66" s="97"/>
      <c r="M66" s="97"/>
      <c r="N66" s="123"/>
      <c r="O66" s="97"/>
      <c r="P66" s="97"/>
      <c r="S66" s="97"/>
    </row>
    <row r="67" spans="2:39" ht="16.5" customHeight="1" outlineLevel="2">
      <c r="C67" s="1055" t="s">
        <v>82</v>
      </c>
      <c r="D67" s="1056"/>
      <c r="E67" s="1056"/>
      <c r="F67" s="1056"/>
      <c r="G67" s="1056"/>
      <c r="H67" s="1056"/>
      <c r="I67" s="1056"/>
      <c r="J67" s="1057"/>
      <c r="N67" s="332" t="s">
        <v>1</v>
      </c>
      <c r="O67" s="1038"/>
      <c r="P67" s="1038" t="s">
        <v>178</v>
      </c>
      <c r="Q67" s="1038"/>
      <c r="R67" s="1038"/>
      <c r="S67" s="1038"/>
      <c r="T67" s="1038"/>
      <c r="U67" s="1038" t="s">
        <v>97</v>
      </c>
      <c r="V67" s="1040" t="s">
        <v>98</v>
      </c>
      <c r="Y67" s="492"/>
      <c r="Z67" s="493" t="s">
        <v>605</v>
      </c>
      <c r="AA67" s="493" t="s">
        <v>606</v>
      </c>
      <c r="AB67" s="493" t="s">
        <v>607</v>
      </c>
      <c r="AC67" s="493" t="s">
        <v>608</v>
      </c>
      <c r="AD67" s="493" t="s">
        <v>609</v>
      </c>
      <c r="AE67" s="493" t="s">
        <v>610</v>
      </c>
      <c r="AF67" s="493" t="s">
        <v>642</v>
      </c>
      <c r="AG67" s="493" t="s">
        <v>643</v>
      </c>
      <c r="AH67" s="493" t="s">
        <v>644</v>
      </c>
      <c r="AI67" s="493" t="s">
        <v>645</v>
      </c>
      <c r="AJ67" s="493" t="s">
        <v>646</v>
      </c>
      <c r="AK67" s="493" t="s">
        <v>647</v>
      </c>
      <c r="AL67" s="494" t="s">
        <v>648</v>
      </c>
    </row>
    <row r="68" spans="2:39" ht="15" outlineLevel="2">
      <c r="C68" s="237"/>
      <c r="D68" s="1033" t="s">
        <v>99</v>
      </c>
      <c r="E68" s="1033"/>
      <c r="F68" s="1033"/>
      <c r="G68" s="1033"/>
      <c r="H68" s="1033"/>
      <c r="I68" s="1033" t="s">
        <v>97</v>
      </c>
      <c r="J68" s="1020" t="s">
        <v>98</v>
      </c>
      <c r="N68" s="333"/>
      <c r="O68" s="1039"/>
      <c r="P68" s="213" t="s">
        <v>72</v>
      </c>
      <c r="Q68" s="213" t="s">
        <v>93</v>
      </c>
      <c r="R68" s="213" t="s">
        <v>73</v>
      </c>
      <c r="S68" s="213" t="s">
        <v>95</v>
      </c>
      <c r="T68" s="213" t="s">
        <v>96</v>
      </c>
      <c r="U68" s="1039"/>
      <c r="V68" s="1041"/>
      <c r="Y68" s="491" t="s">
        <v>611</v>
      </c>
      <c r="Z68" s="334" t="s">
        <v>612</v>
      </c>
      <c r="AA68" s="334" t="s">
        <v>613</v>
      </c>
      <c r="AB68" s="334" t="s">
        <v>614</v>
      </c>
      <c r="AC68" s="334" t="s">
        <v>615</v>
      </c>
      <c r="AD68" s="334" t="s">
        <v>616</v>
      </c>
      <c r="AE68" s="334" t="s">
        <v>613</v>
      </c>
      <c r="AF68" s="334" t="s">
        <v>672</v>
      </c>
      <c r="AG68" s="334" t="s">
        <v>649</v>
      </c>
      <c r="AH68" s="334" t="s">
        <v>649</v>
      </c>
      <c r="AI68" s="334" t="s">
        <v>673</v>
      </c>
      <c r="AJ68" s="334" t="s">
        <v>674</v>
      </c>
      <c r="AK68" s="334" t="s">
        <v>673</v>
      </c>
      <c r="AL68" s="495" t="s">
        <v>650</v>
      </c>
    </row>
    <row r="69" spans="2:39" ht="15" outlineLevel="2">
      <c r="C69" s="238"/>
      <c r="D69" s="594" t="s">
        <v>92</v>
      </c>
      <c r="E69" s="594" t="s">
        <v>93</v>
      </c>
      <c r="F69" s="594" t="s">
        <v>94</v>
      </c>
      <c r="G69" s="615" t="s">
        <v>95</v>
      </c>
      <c r="H69" s="594" t="s">
        <v>96</v>
      </c>
      <c r="I69" s="1034"/>
      <c r="J69" s="1021"/>
      <c r="N69" s="158" t="s">
        <v>2</v>
      </c>
      <c r="O69" s="295" t="s">
        <v>404</v>
      </c>
      <c r="P69" s="307">
        <v>83.4</v>
      </c>
      <c r="Q69" s="334">
        <v>4.95</v>
      </c>
      <c r="R69" s="334">
        <v>9.4700000000000006</v>
      </c>
      <c r="S69" s="334">
        <v>1.37</v>
      </c>
      <c r="T69" s="334">
        <v>0.81</v>
      </c>
      <c r="U69" s="334">
        <v>8.41</v>
      </c>
      <c r="V69" s="335">
        <v>11.83</v>
      </c>
      <c r="Y69" s="491" t="s">
        <v>617</v>
      </c>
      <c r="Z69" s="336" t="s">
        <v>632</v>
      </c>
      <c r="AA69" s="336" t="s">
        <v>632</v>
      </c>
      <c r="AB69" s="336" t="s">
        <v>632</v>
      </c>
      <c r="AC69" s="336" t="s">
        <v>632</v>
      </c>
      <c r="AD69" s="336" t="s">
        <v>632</v>
      </c>
      <c r="AE69" s="336" t="s">
        <v>634</v>
      </c>
      <c r="AF69" s="336" t="s">
        <v>632</v>
      </c>
      <c r="AG69" s="336" t="s">
        <v>632</v>
      </c>
      <c r="AH69" s="336" t="s">
        <v>651</v>
      </c>
      <c r="AI69" s="336" t="s">
        <v>651</v>
      </c>
      <c r="AJ69" s="336" t="s">
        <v>651</v>
      </c>
      <c r="AK69" s="336" t="s">
        <v>651</v>
      </c>
      <c r="AL69" s="496" t="s">
        <v>652</v>
      </c>
    </row>
    <row r="70" spans="2:39" ht="16.5" customHeight="1" outlineLevel="2">
      <c r="C70" s="220" t="s">
        <v>376</v>
      </c>
      <c r="D70" s="188">
        <f t="shared" ref="D70:G70" si="0">D71*(100-$I71-$J71)/100</f>
        <v>66.145560000000003</v>
      </c>
      <c r="E70" s="188">
        <f t="shared" si="0"/>
        <v>3.6877200000000006</v>
      </c>
      <c r="F70" s="188">
        <f t="shared" si="0"/>
        <v>5.7027400000000013</v>
      </c>
      <c r="G70" s="188">
        <f t="shared" si="0"/>
        <v>1.7038200000000003</v>
      </c>
      <c r="H70" s="188">
        <f>H71*(100-$I71-$J71)/100</f>
        <v>0.5601600000000001</v>
      </c>
      <c r="I70" s="1034"/>
      <c r="J70" s="1021"/>
      <c r="K70" s="91"/>
      <c r="L70" s="71"/>
      <c r="M70" s="71"/>
      <c r="N70" s="158" t="s">
        <v>3</v>
      </c>
      <c r="O70" s="295" t="s">
        <v>7</v>
      </c>
      <c r="P70" s="307">
        <v>82.44</v>
      </c>
      <c r="Q70" s="334">
        <v>5.0199999999999996</v>
      </c>
      <c r="R70" s="334">
        <v>10.43</v>
      </c>
      <c r="S70" s="334">
        <v>1.38</v>
      </c>
      <c r="T70" s="334">
        <v>0.73</v>
      </c>
      <c r="U70" s="334">
        <v>13.55</v>
      </c>
      <c r="V70" s="335">
        <v>7.42</v>
      </c>
      <c r="Y70" s="491" t="s">
        <v>618</v>
      </c>
      <c r="Z70" s="334" t="s">
        <v>633</v>
      </c>
      <c r="AA70" s="334" t="s">
        <v>633</v>
      </c>
      <c r="AB70" s="334" t="s">
        <v>636</v>
      </c>
      <c r="AC70" s="334" t="s">
        <v>635</v>
      </c>
      <c r="AD70" s="334" t="s">
        <v>633</v>
      </c>
      <c r="AE70" s="334" t="s">
        <v>637</v>
      </c>
      <c r="AF70" s="334" t="s">
        <v>675</v>
      </c>
      <c r="AG70" s="334">
        <v>41553</v>
      </c>
      <c r="AH70" s="334">
        <v>41553</v>
      </c>
      <c r="AI70" s="334" t="s">
        <v>653</v>
      </c>
      <c r="AJ70" s="334" t="s">
        <v>654</v>
      </c>
      <c r="AK70" s="334" t="s">
        <v>654</v>
      </c>
      <c r="AL70" s="495">
        <v>42339</v>
      </c>
    </row>
    <row r="71" spans="2:39" ht="16.5" customHeight="1" outlineLevel="2">
      <c r="C71" s="220" t="s">
        <v>377</v>
      </c>
      <c r="D71" s="239">
        <f>100-SUM(E71:H71)</f>
        <v>85.02</v>
      </c>
      <c r="E71" s="993">
        <v>4.74</v>
      </c>
      <c r="F71" s="993">
        <v>7.33</v>
      </c>
      <c r="G71" s="993">
        <v>2.19</v>
      </c>
      <c r="H71" s="993">
        <v>0.72</v>
      </c>
      <c r="I71" s="993">
        <v>14.49</v>
      </c>
      <c r="J71" s="998">
        <v>7.71</v>
      </c>
      <c r="K71" s="91"/>
      <c r="L71" s="71"/>
      <c r="M71" s="71"/>
      <c r="N71" s="158" t="s">
        <v>4</v>
      </c>
      <c r="O71" s="295" t="s">
        <v>6</v>
      </c>
      <c r="P71" s="307">
        <v>88.58</v>
      </c>
      <c r="Q71" s="334">
        <v>4.7300000000000004</v>
      </c>
      <c r="R71" s="334">
        <v>4.22</v>
      </c>
      <c r="S71" s="334">
        <v>1.46</v>
      </c>
      <c r="T71" s="334">
        <v>1</v>
      </c>
      <c r="U71" s="334">
        <v>11.12</v>
      </c>
      <c r="V71" s="335">
        <v>10.27</v>
      </c>
      <c r="Y71" s="491" t="s">
        <v>676</v>
      </c>
      <c r="Z71" s="334" t="s">
        <v>619</v>
      </c>
      <c r="AA71" s="334" t="s">
        <v>620</v>
      </c>
      <c r="AB71" s="334" t="s">
        <v>620</v>
      </c>
      <c r="AC71" s="334" t="s">
        <v>70</v>
      </c>
      <c r="AD71" s="334" t="s">
        <v>620</v>
      </c>
      <c r="AE71" s="334" t="s">
        <v>66</v>
      </c>
      <c r="AF71" s="334" t="s">
        <v>655</v>
      </c>
      <c r="AG71" s="334" t="s">
        <v>620</v>
      </c>
      <c r="AH71" s="334" t="s">
        <v>620</v>
      </c>
      <c r="AI71" s="334" t="s">
        <v>656</v>
      </c>
      <c r="AJ71" s="334" t="s">
        <v>657</v>
      </c>
      <c r="AK71" s="334" t="s">
        <v>70</v>
      </c>
      <c r="AL71" s="495" t="s">
        <v>658</v>
      </c>
    </row>
    <row r="72" spans="2:39" ht="16.5" customHeight="1" outlineLevel="2">
      <c r="C72" s="223" t="s">
        <v>378</v>
      </c>
      <c r="D72" s="227">
        <f>(33.9*D70+10.5*E70+117.2*(H70-F70/8) -2.44*J71)/100</f>
        <v>22.44348755</v>
      </c>
      <c r="E72" s="228" t="s">
        <v>100</v>
      </c>
      <c r="F72" s="228" t="s">
        <v>381</v>
      </c>
      <c r="G72" s="229">
        <f>(I71/(100-D41)*10^6/D73)*((100-D42)/100)</f>
        <v>18893.601324994641</v>
      </c>
      <c r="H72" s="230" t="s">
        <v>407</v>
      </c>
      <c r="I72" s="224" t="s">
        <v>379</v>
      </c>
      <c r="J72" s="231">
        <f>0.22414*(J71/18+E70/2)</f>
        <v>0.50928941373333336</v>
      </c>
      <c r="K72" s="91"/>
      <c r="L72" s="71"/>
      <c r="M72" s="71"/>
      <c r="N72" s="158" t="s">
        <v>5</v>
      </c>
      <c r="O72" s="295" t="s">
        <v>8</v>
      </c>
      <c r="P72" s="188">
        <v>87.03</v>
      </c>
      <c r="Q72" s="336">
        <v>4.66</v>
      </c>
      <c r="R72" s="336">
        <v>5.36</v>
      </c>
      <c r="S72" s="336">
        <v>2.58</v>
      </c>
      <c r="T72" s="336">
        <v>0.37</v>
      </c>
      <c r="U72" s="336">
        <v>9.52</v>
      </c>
      <c r="V72" s="337">
        <v>10.220000000000001</v>
      </c>
      <c r="Y72" s="491" t="s">
        <v>678</v>
      </c>
      <c r="Z72" s="336" t="s">
        <v>621</v>
      </c>
      <c r="AA72" s="336" t="s">
        <v>621</v>
      </c>
      <c r="AB72" s="336" t="s">
        <v>621</v>
      </c>
      <c r="AC72" s="336" t="s">
        <v>622</v>
      </c>
      <c r="AD72" s="336" t="s">
        <v>623</v>
      </c>
      <c r="AE72" s="336" t="s">
        <v>624</v>
      </c>
      <c r="AF72" s="336" t="s">
        <v>621</v>
      </c>
      <c r="AG72" s="336" t="s">
        <v>631</v>
      </c>
      <c r="AH72" s="336" t="s">
        <v>659</v>
      </c>
      <c r="AI72" s="336" t="s">
        <v>660</v>
      </c>
      <c r="AJ72" s="336" t="s">
        <v>661</v>
      </c>
      <c r="AK72" s="336" t="s">
        <v>662</v>
      </c>
      <c r="AL72" s="496" t="s">
        <v>663</v>
      </c>
    </row>
    <row r="73" spans="2:39" ht="16.5" customHeight="1" outlineLevel="2" thickBot="1">
      <c r="B73" s="88"/>
      <c r="C73" s="225" t="s">
        <v>401</v>
      </c>
      <c r="D73" s="232">
        <f>(8.899*(D70-D74)+20.96*E70+3.32*H70+0.8*G70-2.64*F70)/100+(D40-1)*100/10^4*(8.899*(D70-D74)+26.514*E70+3.32*H70-3.34*F70)-E70/2*0.22414</f>
        <v>7.4344897670971424</v>
      </c>
      <c r="E73" s="233" t="s">
        <v>101</v>
      </c>
      <c r="F73" s="233" t="s">
        <v>380</v>
      </c>
      <c r="G73" s="234">
        <f>(H70/100*10^6/D9*F9/D73)*((100-D43)/100)</f>
        <v>1505.5124167101765</v>
      </c>
      <c r="H73" s="235" t="s">
        <v>407</v>
      </c>
      <c r="I73" s="226" t="s">
        <v>546</v>
      </c>
      <c r="J73" s="236">
        <f>D73+J72</f>
        <v>7.9437791808304761</v>
      </c>
      <c r="K73" s="91"/>
      <c r="L73" s="71"/>
      <c r="M73" s="71"/>
      <c r="N73" s="158" t="s">
        <v>9</v>
      </c>
      <c r="O73" s="295" t="s">
        <v>15</v>
      </c>
      <c r="P73" s="338">
        <v>84.35</v>
      </c>
      <c r="Q73" s="336">
        <v>5.58</v>
      </c>
      <c r="R73" s="336">
        <v>6.05</v>
      </c>
      <c r="S73" s="336">
        <v>2.09</v>
      </c>
      <c r="T73" s="336">
        <v>1.74</v>
      </c>
      <c r="U73" s="336">
        <v>7</v>
      </c>
      <c r="V73" s="337">
        <v>7</v>
      </c>
      <c r="Y73" s="491" t="s">
        <v>625</v>
      </c>
      <c r="Z73" s="334" t="s">
        <v>638</v>
      </c>
      <c r="AA73" s="334" t="s">
        <v>639</v>
      </c>
      <c r="AB73" s="334" t="s">
        <v>626</v>
      </c>
      <c r="AC73" s="334" t="s">
        <v>638</v>
      </c>
      <c r="AD73" s="334" t="s">
        <v>638</v>
      </c>
      <c r="AE73" s="334" t="s">
        <v>638</v>
      </c>
      <c r="AF73" s="334" t="s">
        <v>664</v>
      </c>
      <c r="AG73" s="334" t="s">
        <v>665</v>
      </c>
      <c r="AH73" s="334" t="s">
        <v>666</v>
      </c>
      <c r="AI73" s="334" t="s">
        <v>666</v>
      </c>
      <c r="AJ73" s="334" t="s">
        <v>667</v>
      </c>
      <c r="AK73" s="334" t="s">
        <v>667</v>
      </c>
      <c r="AL73" s="495">
        <v>41395</v>
      </c>
    </row>
    <row r="74" spans="2:39" ht="16.5" customHeight="1" outlineLevel="2" thickBot="1">
      <c r="C74" s="240" t="s">
        <v>394</v>
      </c>
      <c r="D74" s="241">
        <f>I71/((100-D41)/100)-I71</f>
        <v>0.29571428571428626</v>
      </c>
      <c r="E74" s="240" t="s">
        <v>395</v>
      </c>
      <c r="F74" s="240"/>
      <c r="G74" s="240"/>
      <c r="H74" s="242"/>
      <c r="I74" s="132"/>
      <c r="J74" s="240"/>
      <c r="N74" s="158" t="s">
        <v>10</v>
      </c>
      <c r="O74" s="295" t="s">
        <v>6</v>
      </c>
      <c r="P74" s="188">
        <v>86.48</v>
      </c>
      <c r="Q74" s="336">
        <v>4.93</v>
      </c>
      <c r="R74" s="336">
        <v>5.71</v>
      </c>
      <c r="S74" s="336">
        <v>1.95</v>
      </c>
      <c r="T74" s="336">
        <v>0.93</v>
      </c>
      <c r="U74" s="336">
        <v>14.16</v>
      </c>
      <c r="V74" s="337">
        <v>8.7899999999999991</v>
      </c>
      <c r="Y74" s="491" t="s">
        <v>679</v>
      </c>
      <c r="Z74" s="334" t="s">
        <v>640</v>
      </c>
      <c r="AA74" s="334" t="s">
        <v>641</v>
      </c>
      <c r="AB74" s="334" t="s">
        <v>641</v>
      </c>
      <c r="AC74" s="334" t="s">
        <v>641</v>
      </c>
      <c r="AD74" s="334" t="s">
        <v>627</v>
      </c>
      <c r="AE74" s="334" t="s">
        <v>628</v>
      </c>
      <c r="AF74" s="334" t="s">
        <v>668</v>
      </c>
      <c r="AG74" s="334" t="s">
        <v>668</v>
      </c>
      <c r="AH74" s="334" t="s">
        <v>669</v>
      </c>
      <c r="AI74" s="334" t="s">
        <v>669</v>
      </c>
      <c r="AJ74" s="334" t="s">
        <v>669</v>
      </c>
      <c r="AK74" s="334" t="s">
        <v>669</v>
      </c>
      <c r="AL74" s="495">
        <v>38144</v>
      </c>
    </row>
    <row r="75" spans="2:39" ht="17.25" customHeight="1" outlineLevel="2">
      <c r="C75" s="1055" t="s">
        <v>59</v>
      </c>
      <c r="D75" s="1056"/>
      <c r="E75" s="1056"/>
      <c r="F75" s="1056"/>
      <c r="G75" s="1056"/>
      <c r="H75" s="1056"/>
      <c r="I75" s="1056"/>
      <c r="J75" s="1057"/>
      <c r="N75" s="158" t="s">
        <v>11</v>
      </c>
      <c r="O75" s="295" t="s">
        <v>7</v>
      </c>
      <c r="P75" s="188">
        <v>83.3</v>
      </c>
      <c r="Q75" s="336">
        <v>5.1100000000000003</v>
      </c>
      <c r="R75" s="336">
        <v>9.4700000000000006</v>
      </c>
      <c r="S75" s="336">
        <v>1.42</v>
      </c>
      <c r="T75" s="336">
        <v>0.7</v>
      </c>
      <c r="U75" s="336">
        <v>13.75</v>
      </c>
      <c r="V75" s="337">
        <v>7.65</v>
      </c>
      <c r="Y75" s="491" t="s">
        <v>680</v>
      </c>
      <c r="Z75" s="336" t="s">
        <v>629</v>
      </c>
      <c r="AA75" s="336" t="s">
        <v>629</v>
      </c>
      <c r="AB75" s="336" t="s">
        <v>629</v>
      </c>
      <c r="AC75" s="336" t="s">
        <v>629</v>
      </c>
      <c r="AD75" s="336" t="s">
        <v>629</v>
      </c>
      <c r="AE75" s="336" t="s">
        <v>629</v>
      </c>
      <c r="AF75" s="336" t="s">
        <v>629</v>
      </c>
      <c r="AG75" s="336" t="s">
        <v>629</v>
      </c>
      <c r="AH75" s="336" t="s">
        <v>629</v>
      </c>
      <c r="AI75" s="336" t="s">
        <v>629</v>
      </c>
      <c r="AJ75" s="336" t="s">
        <v>629</v>
      </c>
      <c r="AK75" s="336" t="s">
        <v>629</v>
      </c>
      <c r="AL75" s="496" t="s">
        <v>670</v>
      </c>
    </row>
    <row r="76" spans="2:39" ht="17.25" customHeight="1" outlineLevel="2">
      <c r="C76" s="237"/>
      <c r="D76" s="1033" t="s">
        <v>99</v>
      </c>
      <c r="E76" s="1033"/>
      <c r="F76" s="1033"/>
      <c r="G76" s="1033"/>
      <c r="H76" s="1033"/>
      <c r="I76" s="1033" t="s">
        <v>97</v>
      </c>
      <c r="J76" s="1020" t="s">
        <v>98</v>
      </c>
      <c r="N76" s="158" t="s">
        <v>12</v>
      </c>
      <c r="O76" s="295" t="s">
        <v>7</v>
      </c>
      <c r="P76" s="188">
        <v>88.16</v>
      </c>
      <c r="Q76" s="336">
        <v>4.8600000000000003</v>
      </c>
      <c r="R76" s="336">
        <v>4.91</v>
      </c>
      <c r="S76" s="336">
        <v>1.43</v>
      </c>
      <c r="T76" s="336">
        <v>0.64</v>
      </c>
      <c r="U76" s="336">
        <v>12.74</v>
      </c>
      <c r="V76" s="337">
        <v>9</v>
      </c>
      <c r="Y76" s="497" t="s">
        <v>681</v>
      </c>
      <c r="Z76" s="498" t="s">
        <v>630</v>
      </c>
      <c r="AA76" s="498" t="s">
        <v>630</v>
      </c>
      <c r="AB76" s="498" t="s">
        <v>630</v>
      </c>
      <c r="AC76" s="498" t="s">
        <v>630</v>
      </c>
      <c r="AD76" s="498" t="s">
        <v>630</v>
      </c>
      <c r="AE76" s="498" t="s">
        <v>631</v>
      </c>
      <c r="AF76" s="498" t="s">
        <v>671</v>
      </c>
      <c r="AG76" s="498" t="s">
        <v>671</v>
      </c>
      <c r="AH76" s="498" t="s">
        <v>671</v>
      </c>
      <c r="AI76" s="498" t="s">
        <v>671</v>
      </c>
      <c r="AJ76" s="498" t="s">
        <v>671</v>
      </c>
      <c r="AK76" s="498" t="s">
        <v>671</v>
      </c>
      <c r="AL76" s="499" t="s">
        <v>671</v>
      </c>
    </row>
    <row r="77" spans="2:39" ht="17.25" customHeight="1" outlineLevel="2">
      <c r="C77" s="238"/>
      <c r="D77" s="594" t="s">
        <v>92</v>
      </c>
      <c r="E77" s="594" t="s">
        <v>93</v>
      </c>
      <c r="F77" s="594" t="s">
        <v>94</v>
      </c>
      <c r="G77" s="615" t="s">
        <v>95</v>
      </c>
      <c r="H77" s="594" t="s">
        <v>96</v>
      </c>
      <c r="I77" s="1034"/>
      <c r="J77" s="1021"/>
      <c r="N77" s="158" t="s">
        <v>13</v>
      </c>
      <c r="O77" s="295" t="s">
        <v>7</v>
      </c>
      <c r="P77" s="188">
        <v>85.02</v>
      </c>
      <c r="Q77" s="336">
        <v>4.74</v>
      </c>
      <c r="R77" s="336">
        <v>7.33</v>
      </c>
      <c r="S77" s="336">
        <v>2.19</v>
      </c>
      <c r="T77" s="336">
        <v>0.72</v>
      </c>
      <c r="U77" s="336">
        <v>14.49</v>
      </c>
      <c r="V77" s="337">
        <v>7.71</v>
      </c>
    </row>
    <row r="78" spans="2:39" ht="17.25" customHeight="1" outlineLevel="2" thickBot="1">
      <c r="C78" s="631" t="s">
        <v>83</v>
      </c>
      <c r="D78" s="188">
        <f t="shared" ref="D78:G78" si="1">D79*(100-$I79-$J79)/100</f>
        <v>24.427200000000003</v>
      </c>
      <c r="E78" s="188">
        <f t="shared" si="1"/>
        <v>2.9136000000000002</v>
      </c>
      <c r="F78" s="188">
        <f t="shared" si="1"/>
        <v>20.212800000000001</v>
      </c>
      <c r="G78" s="188">
        <f t="shared" si="1"/>
        <v>0.44640000000000002</v>
      </c>
      <c r="H78" s="647">
        <f>H79*(100-$I79-$J79)/100</f>
        <v>4.7999999999999996E-3</v>
      </c>
      <c r="I78" s="1034"/>
      <c r="J78" s="1021"/>
      <c r="N78" s="155" t="s">
        <v>14</v>
      </c>
      <c r="O78" s="235" t="s">
        <v>7</v>
      </c>
      <c r="P78" s="190">
        <v>81.849999999999994</v>
      </c>
      <c r="Q78" s="339">
        <v>5.03</v>
      </c>
      <c r="R78" s="339">
        <v>10.81</v>
      </c>
      <c r="S78" s="339">
        <v>1.36</v>
      </c>
      <c r="T78" s="339">
        <v>0.95</v>
      </c>
      <c r="U78" s="339">
        <v>13.36</v>
      </c>
      <c r="V78" s="340">
        <v>7.79</v>
      </c>
    </row>
    <row r="79" spans="2:39" ht="17.25" customHeight="1" outlineLevel="2">
      <c r="C79" s="220" t="s">
        <v>84</v>
      </c>
      <c r="D79" s="188">
        <v>50.89</v>
      </c>
      <c r="E79" s="595">
        <v>6.07</v>
      </c>
      <c r="F79" s="595">
        <v>42.11</v>
      </c>
      <c r="G79" s="595">
        <v>0.93</v>
      </c>
      <c r="H79" s="595">
        <v>0.01</v>
      </c>
      <c r="I79" s="595">
        <v>2</v>
      </c>
      <c r="J79" s="992">
        <v>50</v>
      </c>
      <c r="N79" s="332" t="s">
        <v>167</v>
      </c>
      <c r="O79" s="212"/>
      <c r="P79" s="1038" t="s">
        <v>260</v>
      </c>
      <c r="Q79" s="1038"/>
      <c r="R79" s="1038"/>
      <c r="S79" s="1038"/>
      <c r="T79" s="1038"/>
      <c r="U79" s="1038" t="s">
        <v>97</v>
      </c>
      <c r="V79" s="1040" t="s">
        <v>98</v>
      </c>
      <c r="W79" s="1063" t="s">
        <v>951</v>
      </c>
      <c r="X79" s="1063"/>
    </row>
    <row r="80" spans="2:39" ht="17.25" customHeight="1" outlineLevel="2" thickBot="1">
      <c r="C80" s="223" t="s">
        <v>378</v>
      </c>
      <c r="D80" s="227">
        <f>(33.9*D78+10.5*E78+117.2*(H78-F78/8) -2.44*J79)/100</f>
        <v>4.4111991999999995</v>
      </c>
      <c r="E80" s="228" t="s">
        <v>100</v>
      </c>
      <c r="F80" s="228" t="s">
        <v>381</v>
      </c>
      <c r="G80" s="229">
        <f>(I79/(100-D41)*10^6/D81)*((100-D42)/100)</f>
        <v>3001.2764945782847</v>
      </c>
      <c r="H80" s="230" t="s">
        <v>407</v>
      </c>
      <c r="I80" s="224" t="s">
        <v>379</v>
      </c>
      <c r="J80" s="231">
        <f>0.22414*(J79/18+E78/2)</f>
        <v>0.94913826311111116</v>
      </c>
      <c r="N80" s="341"/>
      <c r="O80" s="214"/>
      <c r="P80" s="214" t="s">
        <v>72</v>
      </c>
      <c r="Q80" s="214" t="s">
        <v>93</v>
      </c>
      <c r="R80" s="214" t="s">
        <v>73</v>
      </c>
      <c r="S80" s="214" t="s">
        <v>95</v>
      </c>
      <c r="T80" s="214" t="s">
        <v>96</v>
      </c>
      <c r="U80" s="1048"/>
      <c r="V80" s="1049"/>
      <c r="W80" s="188">
        <f>AVERAGE(Q69:Q78)*(100-AVERAGE(U69:U78)-AVERAGE(V69:V78))/100</f>
        <v>3.9401254199999998</v>
      </c>
      <c r="AF80" s="79"/>
      <c r="AG80" s="90"/>
      <c r="AH80" s="90"/>
      <c r="AI80" s="90"/>
      <c r="AJ80" s="90"/>
      <c r="AK80" s="90"/>
      <c r="AL80" s="90"/>
      <c r="AM80" s="90"/>
    </row>
    <row r="81" spans="3:42" ht="17.25" customHeight="1" outlineLevel="2" thickBot="1">
      <c r="C81" s="225" t="s">
        <v>401</v>
      </c>
      <c r="D81" s="232">
        <f>(8.899*(D78-D82)+20.96*E78+3.32*H78+0.8*G78-2.64*F78)/100+(D40-1)*100/1000*(8.899*(D78-D82)+26.514*E78+3.32*H78-3.34*F78)-E78/2*0.22414</f>
        <v>6.4598363853061223</v>
      </c>
      <c r="E81" s="233" t="s">
        <v>330</v>
      </c>
      <c r="F81" s="233" t="s">
        <v>380</v>
      </c>
      <c r="G81" s="234">
        <f>H78/100*10^6/D9*F9/D81</f>
        <v>14.84715133843763</v>
      </c>
      <c r="H81" s="235" t="s">
        <v>407</v>
      </c>
      <c r="I81" s="226" t="s">
        <v>546</v>
      </c>
      <c r="J81" s="236">
        <f>D81+J80</f>
        <v>7.4089746484172334</v>
      </c>
      <c r="K81" s="79"/>
      <c r="L81" s="94"/>
      <c r="M81" s="94"/>
      <c r="N81" s="299" t="s">
        <v>168</v>
      </c>
      <c r="O81" s="342"/>
      <c r="P81" s="343">
        <v>49.202802884127138</v>
      </c>
      <c r="Q81" s="630">
        <v>5.9408957042754125</v>
      </c>
      <c r="R81" s="630">
        <v>44.368843302528681</v>
      </c>
      <c r="S81" s="630">
        <v>0.47730273179648619</v>
      </c>
      <c r="T81" s="630">
        <v>1.0155377272265663E-2</v>
      </c>
      <c r="U81" s="344">
        <v>1.5299999999999869</v>
      </c>
      <c r="V81" s="1035" t="s">
        <v>182</v>
      </c>
      <c r="AF81" s="79"/>
      <c r="AG81" s="90"/>
      <c r="AH81" s="90"/>
      <c r="AI81" s="90"/>
      <c r="AJ81" s="90"/>
      <c r="AK81" s="90"/>
      <c r="AL81" s="90"/>
      <c r="AM81" s="90"/>
    </row>
    <row r="82" spans="3:42" ht="17.25" customHeight="1" outlineLevel="2">
      <c r="C82" s="240" t="s">
        <v>394</v>
      </c>
      <c r="D82" s="241">
        <f>I79/((100-D41)/100)-I79</f>
        <v>4.081632653061229E-2</v>
      </c>
      <c r="E82" s="240" t="s">
        <v>395</v>
      </c>
      <c r="F82" s="240"/>
      <c r="G82" s="240"/>
      <c r="H82" s="242"/>
      <c r="I82" s="132"/>
      <c r="J82" s="240"/>
      <c r="K82" s="79"/>
      <c r="L82" s="94"/>
      <c r="M82" s="94"/>
      <c r="N82" s="158" t="s">
        <v>169</v>
      </c>
      <c r="O82" s="295"/>
      <c r="P82" s="188">
        <v>50.689096068098912</v>
      </c>
      <c r="Q82" s="336">
        <v>6.3640048642075397</v>
      </c>
      <c r="R82" s="336">
        <v>42.734089987839482</v>
      </c>
      <c r="S82" s="336">
        <v>0.19254154843940011</v>
      </c>
      <c r="T82" s="336">
        <v>2.0267531414673697E-2</v>
      </c>
      <c r="U82" s="334">
        <v>1.3200000000000074</v>
      </c>
      <c r="V82" s="1036"/>
      <c r="AF82" s="79"/>
      <c r="AG82" s="90"/>
      <c r="AH82" s="90"/>
      <c r="AI82" s="90"/>
      <c r="AJ82" s="90"/>
      <c r="AK82" s="90"/>
      <c r="AL82" s="90"/>
      <c r="AM82" s="90"/>
    </row>
    <row r="83" spans="3:42" ht="17.25" customHeight="1" outlineLevel="2">
      <c r="C83" s="240"/>
      <c r="D83" s="240"/>
      <c r="E83" s="240"/>
      <c r="F83" s="241"/>
      <c r="G83" s="240"/>
      <c r="H83" s="242"/>
      <c r="I83" s="132"/>
      <c r="J83" s="240"/>
      <c r="K83" s="79"/>
      <c r="L83" s="94"/>
      <c r="M83" s="94"/>
      <c r="N83" s="158" t="s">
        <v>170</v>
      </c>
      <c r="O83" s="295"/>
      <c r="P83" s="188">
        <v>51.603618421052644</v>
      </c>
      <c r="Q83" s="336">
        <v>6.2294407894736841</v>
      </c>
      <c r="R83" s="336">
        <v>41.529605263157897</v>
      </c>
      <c r="S83" s="336">
        <v>0.61677631578947378</v>
      </c>
      <c r="T83" s="336">
        <v>2.0559210526315794E-2</v>
      </c>
      <c r="U83" s="334">
        <v>2.7200000000000131</v>
      </c>
      <c r="V83" s="1036"/>
      <c r="AF83" s="79"/>
      <c r="AG83" s="90"/>
      <c r="AH83" s="90"/>
      <c r="AI83" s="90"/>
      <c r="AJ83" s="90"/>
      <c r="AK83" s="90"/>
      <c r="AL83" s="90"/>
      <c r="AM83" s="90"/>
    </row>
    <row r="84" spans="3:42" ht="17.25" customHeight="1" outlineLevel="2">
      <c r="L84" s="94"/>
      <c r="M84" s="94"/>
      <c r="N84" s="158" t="s">
        <v>172</v>
      </c>
      <c r="O84" s="295"/>
      <c r="P84" s="188">
        <v>56.486132343306394</v>
      </c>
      <c r="Q84" s="336">
        <v>4.8809783795588553</v>
      </c>
      <c r="R84" s="336">
        <v>38.338065079711726</v>
      </c>
      <c r="S84" s="336">
        <v>0.262065953264905</v>
      </c>
      <c r="T84" s="336">
        <v>3.2758244158113126E-2</v>
      </c>
      <c r="U84" s="334">
        <v>8.4200000000000017</v>
      </c>
      <c r="V84" s="1036"/>
      <c r="AF84" s="79"/>
      <c r="AG84" s="90"/>
      <c r="AH84" s="90"/>
      <c r="AI84" s="90"/>
      <c r="AJ84" s="90"/>
      <c r="AK84" s="90"/>
      <c r="AL84" s="90"/>
      <c r="AM84" s="90"/>
    </row>
    <row r="85" spans="3:42" ht="17.25" customHeight="1" outlineLevel="2">
      <c r="L85" s="94"/>
      <c r="M85" s="94"/>
      <c r="N85" s="158" t="s">
        <v>173</v>
      </c>
      <c r="O85" s="295"/>
      <c r="P85" s="188">
        <v>51.101276245368467</v>
      </c>
      <c r="Q85" s="336">
        <v>5.6607657472210793</v>
      </c>
      <c r="R85" s="336">
        <v>43.104158089748871</v>
      </c>
      <c r="S85" s="336">
        <v>8.2338410868670234E-2</v>
      </c>
      <c r="T85" s="336">
        <v>5.1461506792918901E-2</v>
      </c>
      <c r="U85" s="334">
        <v>2.8400000000000034</v>
      </c>
      <c r="V85" s="1036"/>
      <c r="AF85" s="79"/>
      <c r="AG85" s="90"/>
      <c r="AH85" s="90"/>
      <c r="AI85" s="90"/>
      <c r="AJ85" s="90"/>
      <c r="AK85" s="90"/>
      <c r="AL85" s="90"/>
      <c r="AM85" s="90"/>
    </row>
    <row r="86" spans="3:42" ht="17.25" customHeight="1" outlineLevel="2">
      <c r="L86" s="94"/>
      <c r="M86" s="94"/>
      <c r="N86" s="158" t="s">
        <v>174</v>
      </c>
      <c r="O86" s="295"/>
      <c r="P86" s="188">
        <v>46.86493450719346</v>
      </c>
      <c r="Q86" s="336">
        <v>5.9695082671247572</v>
      </c>
      <c r="R86" s="336">
        <v>46.499892634743389</v>
      </c>
      <c r="S86" s="336">
        <v>0.6549280652780759</v>
      </c>
      <c r="T86" s="336">
        <v>1.0736525660296327E-2</v>
      </c>
      <c r="U86" s="334">
        <v>6.8599999999999852</v>
      </c>
      <c r="V86" s="1036"/>
      <c r="AF86" s="79"/>
      <c r="AG86" s="90"/>
      <c r="AH86" s="90"/>
      <c r="AI86" s="90"/>
      <c r="AJ86" s="90"/>
      <c r="AK86" s="90"/>
      <c r="AL86" s="90"/>
      <c r="AM86" s="90"/>
    </row>
    <row r="87" spans="3:42" ht="17.25" customHeight="1" outlineLevel="2">
      <c r="C87" s="88"/>
      <c r="L87" s="94"/>
      <c r="M87" s="94"/>
      <c r="N87" s="158" t="s">
        <v>175</v>
      </c>
      <c r="O87" s="338"/>
      <c r="P87" s="188">
        <v>49.384631295894096</v>
      </c>
      <c r="Q87" s="336">
        <v>5.9468404178301792</v>
      </c>
      <c r="R87" s="336">
        <v>43.82045713103733</v>
      </c>
      <c r="S87" s="336">
        <v>0.76533250594684044</v>
      </c>
      <c r="T87" s="336">
        <v>8.2738649291550323E-2</v>
      </c>
      <c r="U87" s="334">
        <v>3.3100000000000023</v>
      </c>
      <c r="V87" s="1036"/>
      <c r="AF87" s="79"/>
      <c r="AG87" s="90"/>
      <c r="AH87" s="90"/>
      <c r="AI87" s="90"/>
      <c r="AJ87" s="90"/>
      <c r="AK87" s="90"/>
      <c r="AL87" s="90"/>
      <c r="AM87" s="90"/>
    </row>
    <row r="88" spans="3:42" ht="17.25" customHeight="1" outlineLevel="2">
      <c r="C88" s="221"/>
      <c r="L88" s="94"/>
      <c r="M88" s="94"/>
      <c r="N88" s="158" t="s">
        <v>176</v>
      </c>
      <c r="O88" s="295"/>
      <c r="P88" s="188">
        <v>48.913043478260875</v>
      </c>
      <c r="Q88" s="336">
        <v>5.6612318840579707</v>
      </c>
      <c r="R88" s="336">
        <v>44.610507246376812</v>
      </c>
      <c r="S88" s="336">
        <v>0.69067028985507251</v>
      </c>
      <c r="T88" s="336">
        <v>0.12454710144927537</v>
      </c>
      <c r="U88" s="334">
        <v>11.680000000000007</v>
      </c>
      <c r="V88" s="1036"/>
      <c r="AF88" s="79"/>
      <c r="AG88" s="90"/>
      <c r="AH88" s="90"/>
      <c r="AI88" s="90"/>
      <c r="AJ88" s="90"/>
      <c r="AK88" s="90"/>
      <c r="AL88" s="90"/>
      <c r="AM88" s="90"/>
    </row>
    <row r="89" spans="3:42" ht="17.25" customHeight="1" outlineLevel="2">
      <c r="C89" s="221"/>
      <c r="L89" s="94"/>
      <c r="M89" s="94"/>
      <c r="N89" s="158" t="s">
        <v>177</v>
      </c>
      <c r="O89" s="295"/>
      <c r="P89" s="188">
        <v>49.40314976426923</v>
      </c>
      <c r="Q89" s="336">
        <v>6.008626742903</v>
      </c>
      <c r="R89" s="336">
        <v>44.497943625238243</v>
      </c>
      <c r="S89" s="336">
        <v>6.0186578393018358E-2</v>
      </c>
      <c r="T89" s="336">
        <v>3.0093289196509179E-2</v>
      </c>
      <c r="U89" s="334">
        <v>0.31000000000000227</v>
      </c>
      <c r="V89" s="1036"/>
      <c r="AF89" s="79"/>
      <c r="AG89" s="90"/>
      <c r="AH89" s="90"/>
      <c r="AI89" s="90"/>
      <c r="AJ89" s="90"/>
      <c r="AK89" s="90"/>
      <c r="AL89" s="90"/>
      <c r="AM89" s="90"/>
    </row>
    <row r="90" spans="3:42" ht="17.25" customHeight="1" outlineLevel="2">
      <c r="C90" s="221"/>
      <c r="L90" s="94"/>
      <c r="M90" s="94"/>
      <c r="N90" s="158" t="s">
        <v>515</v>
      </c>
      <c r="O90" s="295"/>
      <c r="P90" s="188">
        <v>50.64</v>
      </c>
      <c r="Q90" s="334">
        <v>6.23</v>
      </c>
      <c r="R90" s="334">
        <v>41.85</v>
      </c>
      <c r="S90" s="334">
        <v>1.28</v>
      </c>
      <c r="T90" s="334" t="s">
        <v>677</v>
      </c>
      <c r="U90" s="1061" t="s">
        <v>1069</v>
      </c>
      <c r="V90" s="1036"/>
      <c r="AF90" s="79"/>
      <c r="AG90" s="90"/>
      <c r="AH90" s="90"/>
      <c r="AI90" s="90"/>
      <c r="AJ90" s="90"/>
      <c r="AK90" s="90"/>
      <c r="AL90" s="90"/>
      <c r="AM90" s="90"/>
    </row>
    <row r="91" spans="3:42" ht="17.25" customHeight="1" outlineLevel="1">
      <c r="C91" s="221"/>
      <c r="D91" s="208"/>
      <c r="L91" s="94"/>
      <c r="M91" s="94"/>
      <c r="N91" s="158" t="s">
        <v>516</v>
      </c>
      <c r="O91" s="295"/>
      <c r="P91" s="188">
        <v>50.89</v>
      </c>
      <c r="Q91" s="334">
        <v>6.07</v>
      </c>
      <c r="R91" s="334">
        <v>42.11</v>
      </c>
      <c r="S91" s="334">
        <v>0.93</v>
      </c>
      <c r="T91" s="334" t="s">
        <v>677</v>
      </c>
      <c r="U91" s="1061"/>
      <c r="V91" s="1036"/>
      <c r="W91" s="78"/>
      <c r="X91" s="78"/>
      <c r="Y91" s="133"/>
      <c r="Z91" s="93"/>
      <c r="AH91" s="79"/>
      <c r="AI91" s="79"/>
      <c r="AJ91" s="90"/>
      <c r="AK91" s="90"/>
      <c r="AL91" s="90"/>
      <c r="AM91" s="90"/>
      <c r="AN91" s="90"/>
      <c r="AO91" s="90"/>
      <c r="AP91" s="90"/>
    </row>
    <row r="92" spans="3:42" ht="17.25" customHeight="1" outlineLevel="1">
      <c r="C92" s="88"/>
      <c r="L92" s="94"/>
      <c r="M92" s="94"/>
      <c r="N92" s="158" t="s">
        <v>517</v>
      </c>
      <c r="O92" s="295"/>
      <c r="P92" s="188">
        <v>50.61</v>
      </c>
      <c r="Q92" s="334">
        <v>6.23</v>
      </c>
      <c r="R92" s="334">
        <v>42.04</v>
      </c>
      <c r="S92" s="334">
        <v>1.1200000000000001</v>
      </c>
      <c r="T92" s="334" t="s">
        <v>677</v>
      </c>
      <c r="U92" s="1061"/>
      <c r="V92" s="1036"/>
      <c r="W92" s="78"/>
      <c r="X92" s="78"/>
      <c r="Y92" s="133"/>
      <c r="Z92" s="93"/>
      <c r="AH92" s="79"/>
      <c r="AI92" s="79"/>
      <c r="AJ92" s="90"/>
      <c r="AK92" s="90"/>
      <c r="AL92" s="90"/>
      <c r="AM92" s="90"/>
      <c r="AN92" s="90"/>
      <c r="AO92" s="90"/>
      <c r="AP92" s="90"/>
    </row>
    <row r="93" spans="3:42" ht="17.25" customHeight="1" outlineLevel="1">
      <c r="C93" s="221"/>
      <c r="H93" s="79"/>
      <c r="I93" s="132"/>
      <c r="K93" s="79"/>
      <c r="L93" s="94"/>
      <c r="M93" s="94"/>
      <c r="N93" s="158" t="s">
        <v>518</v>
      </c>
      <c r="O93" s="295"/>
      <c r="P93" s="188">
        <v>51.39</v>
      </c>
      <c r="Q93" s="334">
        <v>6.11</v>
      </c>
      <c r="R93" s="334">
        <v>41.56</v>
      </c>
      <c r="S93" s="334">
        <v>0.94</v>
      </c>
      <c r="T93" s="334" t="s">
        <v>677</v>
      </c>
      <c r="U93" s="1061"/>
      <c r="V93" s="1036"/>
      <c r="W93" s="78"/>
      <c r="X93" s="78"/>
      <c r="Y93" s="133"/>
      <c r="Z93" s="93"/>
      <c r="AH93" s="79"/>
      <c r="AI93" s="79"/>
      <c r="AJ93" s="90"/>
      <c r="AK93" s="90"/>
      <c r="AL93" s="90"/>
      <c r="AM93" s="90"/>
      <c r="AN93" s="90"/>
      <c r="AO93" s="90"/>
      <c r="AP93" s="90"/>
    </row>
    <row r="94" spans="3:42" ht="17.25" customHeight="1" outlineLevel="1" thickBot="1">
      <c r="C94" s="221"/>
      <c r="H94" s="79"/>
      <c r="I94" s="132"/>
      <c r="K94" s="79"/>
      <c r="L94" s="94"/>
      <c r="M94" s="94"/>
      <c r="N94" s="155" t="s">
        <v>519</v>
      </c>
      <c r="O94" s="235"/>
      <c r="P94" s="190">
        <v>51.39</v>
      </c>
      <c r="Q94" s="345">
        <v>6.11</v>
      </c>
      <c r="R94" s="345">
        <v>41.56</v>
      </c>
      <c r="S94" s="345">
        <v>0.94</v>
      </c>
      <c r="T94" s="345" t="s">
        <v>677</v>
      </c>
      <c r="U94" s="1062"/>
      <c r="V94" s="1037"/>
      <c r="W94" s="78"/>
      <c r="X94" s="78"/>
      <c r="Y94" s="133"/>
      <c r="Z94" s="93"/>
      <c r="AH94" s="79"/>
      <c r="AI94" s="79"/>
      <c r="AJ94" s="90"/>
      <c r="AK94" s="90"/>
      <c r="AL94" s="90"/>
      <c r="AM94" s="90"/>
      <c r="AN94" s="90"/>
      <c r="AO94" s="90"/>
      <c r="AP94" s="90"/>
    </row>
    <row r="95" spans="3:42" ht="17.25" customHeight="1" outlineLevel="1" thickBot="1">
      <c r="C95" s="88"/>
      <c r="I95" s="79"/>
      <c r="J95" s="132"/>
      <c r="L95" s="94"/>
      <c r="M95" s="94"/>
      <c r="N95" s="94"/>
      <c r="O95" s="94"/>
      <c r="P95" s="94"/>
      <c r="S95" s="88"/>
      <c r="T95" s="79"/>
      <c r="U95" s="79"/>
      <c r="V95" s="79"/>
      <c r="W95" s="78"/>
      <c r="X95" s="78"/>
      <c r="Y95" s="133"/>
      <c r="Z95" s="93"/>
      <c r="AH95" s="79"/>
      <c r="AI95" s="79"/>
      <c r="AJ95" s="90"/>
      <c r="AK95" s="90"/>
      <c r="AL95" s="90"/>
      <c r="AM95" s="90"/>
      <c r="AN95" s="90"/>
      <c r="AO95" s="90"/>
      <c r="AP95" s="90"/>
    </row>
    <row r="96" spans="3:42" ht="17.25" customHeight="1" outlineLevel="1" thickBot="1">
      <c r="C96" s="646"/>
      <c r="D96" s="1058" t="s">
        <v>160</v>
      </c>
      <c r="E96" s="1059"/>
      <c r="F96" s="1060" t="s">
        <v>164</v>
      </c>
      <c r="G96" s="1059"/>
      <c r="H96" s="240"/>
      <c r="I96" s="1050" t="s">
        <v>165</v>
      </c>
      <c r="J96" s="1051"/>
      <c r="K96" s="1052"/>
      <c r="L96" s="94"/>
      <c r="M96" s="94"/>
      <c r="N96" s="94"/>
      <c r="O96" s="94"/>
      <c r="P96" s="94"/>
      <c r="S96" s="88"/>
      <c r="T96" s="79"/>
      <c r="U96" s="79"/>
      <c r="V96" s="79"/>
      <c r="W96" s="79"/>
      <c r="X96" s="78"/>
      <c r="Y96" s="133"/>
      <c r="Z96" s="93"/>
    </row>
    <row r="97" spans="2:26" ht="17.25" customHeight="1" outlineLevel="1">
      <c r="C97" s="597" t="s">
        <v>378</v>
      </c>
      <c r="D97" s="639">
        <f>IF(AND(D$46="D"),D72,D52)</f>
        <v>22.44348755</v>
      </c>
      <c r="E97" s="249" t="s">
        <v>89</v>
      </c>
      <c r="F97" s="243">
        <f>IF((D$47="D"),D80,H52)</f>
        <v>10</v>
      </c>
      <c r="G97" s="249" t="s">
        <v>89</v>
      </c>
      <c r="H97" s="240"/>
      <c r="I97" s="130" t="s">
        <v>378</v>
      </c>
      <c r="J97" s="244">
        <f>IF(D31="y",D97*D33/100+F97*D32/100,D97)</f>
        <v>22.44348755</v>
      </c>
      <c r="K97" s="245" t="s">
        <v>89</v>
      </c>
      <c r="L97" s="94"/>
      <c r="M97" s="94"/>
      <c r="S97" s="88"/>
      <c r="T97" s="79"/>
      <c r="U97" s="79"/>
      <c r="V97" s="79"/>
      <c r="W97" s="79"/>
      <c r="X97" s="78"/>
      <c r="Y97" s="133"/>
      <c r="Z97" s="93"/>
    </row>
    <row r="98" spans="2:26" ht="17.25" customHeight="1" outlineLevel="1">
      <c r="C98" s="597" t="s">
        <v>368</v>
      </c>
      <c r="D98" s="640">
        <f>IF(AND(D$46="D"),H71,D53)</f>
        <v>0.72</v>
      </c>
      <c r="E98" s="249" t="s">
        <v>109</v>
      </c>
      <c r="F98" s="243">
        <f>IF(D$47="D",H79,H53)</f>
        <v>0.1</v>
      </c>
      <c r="G98" s="249" t="s">
        <v>109</v>
      </c>
      <c r="H98" s="240"/>
      <c r="I98" s="130" t="s">
        <v>368</v>
      </c>
      <c r="J98" s="579">
        <f>IF(D31="y",D98*D33/100+F98*D32/100,D98)</f>
        <v>0.72</v>
      </c>
      <c r="K98" s="245" t="s">
        <v>102</v>
      </c>
      <c r="N98" s="71"/>
      <c r="O98" s="71"/>
      <c r="P98" s="71"/>
      <c r="S98" s="88"/>
      <c r="T98" s="79"/>
      <c r="U98" s="79"/>
      <c r="V98" s="79"/>
      <c r="W98" s="79"/>
      <c r="X98" s="78"/>
      <c r="Y98" s="133"/>
      <c r="Z98" s="93"/>
    </row>
    <row r="99" spans="2:26" ht="17.25" customHeight="1" outlineLevel="1">
      <c r="C99" s="597" t="s">
        <v>369</v>
      </c>
      <c r="D99" s="639">
        <f>IF(D$46="D",I$71,D$54)</f>
        <v>14.49</v>
      </c>
      <c r="E99" s="249" t="s">
        <v>91</v>
      </c>
      <c r="F99" s="243">
        <f>IF(D$47="D",I79,H54)</f>
        <v>2</v>
      </c>
      <c r="G99" s="249" t="s">
        <v>91</v>
      </c>
      <c r="H99" s="240"/>
      <c r="I99" s="130" t="s">
        <v>369</v>
      </c>
      <c r="J99" s="244">
        <f>IF(D$31="y",D99*D$33/100+F99*D$32/100,D99)</f>
        <v>14.49</v>
      </c>
      <c r="K99" s="245" t="s">
        <v>91</v>
      </c>
      <c r="L99" s="71"/>
      <c r="M99" s="71"/>
      <c r="N99" s="71"/>
      <c r="O99" s="71"/>
      <c r="P99" s="71"/>
      <c r="S99" s="88"/>
      <c r="T99" s="79"/>
      <c r="U99" s="79"/>
      <c r="V99" s="79"/>
      <c r="W99" s="79"/>
      <c r="X99" s="78"/>
      <c r="Y99" s="133"/>
      <c r="Z99" s="93"/>
    </row>
    <row r="100" spans="2:26" ht="17.25" customHeight="1" outlineLevel="1">
      <c r="C100" s="597" t="s">
        <v>400</v>
      </c>
      <c r="D100" s="247">
        <f>IF($D46="D",J73,D56+D57)</f>
        <v>7.9437791808304761</v>
      </c>
      <c r="E100" s="249" t="s">
        <v>337</v>
      </c>
      <c r="F100" s="246">
        <f>IF($D47="D",J81,H56+H57)</f>
        <v>3.7588055555555551</v>
      </c>
      <c r="G100" s="249" t="s">
        <v>340</v>
      </c>
      <c r="H100" s="240"/>
      <c r="I100" s="130" t="s">
        <v>400</v>
      </c>
      <c r="J100" s="248">
        <f>IF(D31="y",D100*D$33/100+F100*D$32/100,D100)</f>
        <v>7.9437791808304761</v>
      </c>
      <c r="K100" s="245" t="s">
        <v>343</v>
      </c>
      <c r="L100" s="71"/>
      <c r="M100" s="71"/>
      <c r="N100" s="71"/>
      <c r="O100" s="632"/>
      <c r="P100" s="633"/>
      <c r="Q100" s="633"/>
      <c r="R100" s="633"/>
      <c r="S100" s="633"/>
      <c r="T100" s="633"/>
      <c r="U100" s="633"/>
      <c r="V100" s="79"/>
      <c r="W100" s="79"/>
      <c r="X100" s="90"/>
      <c r="Y100" s="133"/>
      <c r="Z100" s="93"/>
    </row>
    <row r="101" spans="2:26" ht="17.25" customHeight="1" outlineLevel="1">
      <c r="C101" s="597" t="s">
        <v>402</v>
      </c>
      <c r="D101" s="641">
        <f>D100/D97*D20*3600*8760*G33/100</f>
        <v>13952545236.595251</v>
      </c>
      <c r="E101" s="249" t="s">
        <v>338</v>
      </c>
      <c r="F101" s="250">
        <f>F100/F97*D20*3600*8760*G33/100</f>
        <v>14817211499.999994</v>
      </c>
      <c r="G101" s="249" t="s">
        <v>338</v>
      </c>
      <c r="H101" s="240"/>
      <c r="I101" s="130" t="s">
        <v>402</v>
      </c>
      <c r="J101" s="251">
        <f>IF(D31="y",D101*D$33/100+F101*D$32/100,D101)</f>
        <v>13952545236.595251</v>
      </c>
      <c r="K101" s="245" t="s">
        <v>338</v>
      </c>
      <c r="L101" s="71"/>
      <c r="M101" s="71"/>
      <c r="N101" s="71"/>
      <c r="O101" s="632"/>
      <c r="P101" s="633"/>
      <c r="Q101" s="633"/>
      <c r="R101" s="633"/>
      <c r="S101" s="633"/>
      <c r="T101" s="633"/>
      <c r="U101" s="633"/>
      <c r="V101" s="79"/>
      <c r="W101" s="79"/>
      <c r="X101" s="90"/>
      <c r="Y101" s="133"/>
      <c r="Z101" s="93"/>
    </row>
    <row r="102" spans="2:26" ht="17.25" customHeight="1" outlineLevel="1">
      <c r="C102" s="597" t="s">
        <v>401</v>
      </c>
      <c r="D102" s="639">
        <f>IF(D$46="D",D73,D59)</f>
        <v>7.4344897670971424</v>
      </c>
      <c r="E102" s="249" t="s">
        <v>341</v>
      </c>
      <c r="F102" s="246">
        <f>IF(D$47="D",D81,H59)</f>
        <v>3.0059301441805992</v>
      </c>
      <c r="G102" s="249" t="s">
        <v>342</v>
      </c>
      <c r="H102" s="240"/>
      <c r="I102" s="130" t="s">
        <v>401</v>
      </c>
      <c r="J102" s="248">
        <f>IF(D31="y",D102*D33/100+F102*D32/100,D102)</f>
        <v>7.4344897670971424</v>
      </c>
      <c r="K102" s="245" t="s">
        <v>344</v>
      </c>
      <c r="L102" s="71"/>
      <c r="M102" s="71"/>
      <c r="N102" s="71"/>
      <c r="O102" s="632"/>
      <c r="P102" s="633"/>
      <c r="Q102" s="633"/>
      <c r="R102" s="633"/>
      <c r="S102" s="633"/>
      <c r="T102" s="633"/>
      <c r="U102" s="633"/>
      <c r="V102" s="79"/>
      <c r="W102" s="79"/>
      <c r="X102" s="90"/>
      <c r="Y102" s="133"/>
      <c r="Z102" s="93"/>
    </row>
    <row r="103" spans="2:26" ht="17.25" customHeight="1" outlineLevel="1">
      <c r="C103" s="597" t="s">
        <v>403</v>
      </c>
      <c r="D103" s="642">
        <f>D102/D97*D20*3600*8760*G33/100</f>
        <v>13058023445.156113</v>
      </c>
      <c r="E103" s="249" t="s">
        <v>339</v>
      </c>
      <c r="F103" s="250">
        <f>F102/F97*D20*3600*8760*G33/100</f>
        <v>11849376628.359922</v>
      </c>
      <c r="G103" s="249" t="s">
        <v>339</v>
      </c>
      <c r="H103" s="240"/>
      <c r="I103" s="130" t="s">
        <v>403</v>
      </c>
      <c r="J103" s="665">
        <f>J102/J97*D20*3600*8760*G33/100</f>
        <v>13058023445.156113</v>
      </c>
      <c r="K103" s="245" t="s">
        <v>339</v>
      </c>
      <c r="L103" s="71"/>
      <c r="M103" s="71"/>
      <c r="N103" s="71"/>
      <c r="O103" s="632"/>
      <c r="P103" s="633"/>
      <c r="Q103" s="633"/>
      <c r="R103" s="633"/>
      <c r="S103" s="633"/>
      <c r="T103" s="633"/>
      <c r="U103" s="633"/>
      <c r="V103" s="79"/>
      <c r="W103" s="79"/>
      <c r="X103" s="90"/>
      <c r="Y103" s="133"/>
      <c r="Z103" s="93"/>
    </row>
    <row r="104" spans="2:26" ht="17.25" customHeight="1" outlineLevel="1">
      <c r="C104" s="597" t="s">
        <v>374</v>
      </c>
      <c r="D104" s="643">
        <f>IF(D46="D",(8.899*D70+26.514*E70+3.32*H70-3.34*F70)/100*(D40-1)*0.21*100/D73,D60)</f>
        <v>3.7806442913451836</v>
      </c>
      <c r="E104" s="249" t="s">
        <v>405</v>
      </c>
      <c r="F104" s="267">
        <f>IF(D47="D",(8.899*D78+26.514*E78+3.32*H78-3.34*F78)/100*(D40-1)*0.21*100/D81,H60)</f>
        <v>4.3419172681931268</v>
      </c>
      <c r="G104" s="249" t="s">
        <v>405</v>
      </c>
      <c r="H104" s="240"/>
      <c r="I104" s="130" t="s">
        <v>374</v>
      </c>
      <c r="J104" s="254">
        <f>IF(D31="Y",((D104*D103*D$33)+(F104*F103*D$32))/(D103*D$33+F103*D$32),D104)</f>
        <v>3.7806442913451836</v>
      </c>
      <c r="K104" s="245" t="s">
        <v>405</v>
      </c>
      <c r="L104" s="71"/>
      <c r="M104" s="71"/>
      <c r="N104" s="71"/>
      <c r="O104" s="632"/>
      <c r="P104" s="633"/>
      <c r="Q104" s="633"/>
      <c r="R104" s="633"/>
      <c r="S104" s="633"/>
      <c r="T104" s="633"/>
      <c r="U104" s="633"/>
      <c r="V104" s="79"/>
      <c r="W104" s="79"/>
      <c r="X104" s="90"/>
      <c r="Y104" s="133"/>
      <c r="Z104" s="93"/>
    </row>
    <row r="105" spans="2:26" ht="17.25" customHeight="1" outlineLevel="1">
      <c r="C105" s="597" t="s">
        <v>375</v>
      </c>
      <c r="D105" s="643">
        <f>((21-G3)/(21-D104))</f>
        <v>0.87111273231092379</v>
      </c>
      <c r="E105" s="249" t="s">
        <v>1049</v>
      </c>
      <c r="F105" s="267">
        <f>((21-G3)/(21-F104))</f>
        <v>0.90046377134140798</v>
      </c>
      <c r="G105" s="249" t="s">
        <v>1049</v>
      </c>
      <c r="H105" s="240"/>
      <c r="I105" s="130" t="s">
        <v>375</v>
      </c>
      <c r="J105" s="254">
        <f>(21-G3)/(21-J104)</f>
        <v>0.87111273231092379</v>
      </c>
      <c r="K105" s="245" t="s">
        <v>1049</v>
      </c>
      <c r="L105" s="71"/>
      <c r="M105" s="71"/>
      <c r="N105" s="71"/>
      <c r="O105" s="632"/>
      <c r="P105" s="633"/>
      <c r="Q105" s="633"/>
      <c r="R105" s="633"/>
      <c r="S105" s="633"/>
      <c r="T105" s="633"/>
      <c r="U105" s="633"/>
      <c r="V105" s="79"/>
      <c r="W105" s="79"/>
      <c r="X105" s="90"/>
      <c r="Y105" s="133"/>
      <c r="Z105" s="93"/>
    </row>
    <row r="106" spans="2:26" ht="17.25" customHeight="1" outlineLevel="1">
      <c r="B106" s="96"/>
      <c r="C106" s="292" t="s">
        <v>1054</v>
      </c>
      <c r="D106" s="644">
        <f>IF(D$46="D",G73,D62)*D105</f>
        <v>1311.4710348484239</v>
      </c>
      <c r="E106" s="249" t="s">
        <v>1048</v>
      </c>
      <c r="F106" s="255">
        <f>IF(D$47="D",G81,H62)*F105</f>
        <v>436.95190506843556</v>
      </c>
      <c r="G106" s="249" t="s">
        <v>1048</v>
      </c>
      <c r="H106" s="125"/>
      <c r="I106" s="292" t="s">
        <v>1054</v>
      </c>
      <c r="J106" s="256">
        <f>IF(D$31="y",(D106/D$105*D$103*D$33/100+F106/F$105*F$103*D$32/100)/J$103*J$105,D106)</f>
        <v>1311.4710348484239</v>
      </c>
      <c r="K106" s="245" t="s">
        <v>1048</v>
      </c>
      <c r="L106" s="71"/>
      <c r="M106" s="71"/>
      <c r="N106" s="71"/>
      <c r="O106" s="632"/>
      <c r="P106" s="633"/>
      <c r="Q106" s="633"/>
      <c r="R106" s="633"/>
      <c r="S106" s="633"/>
      <c r="T106" s="633"/>
      <c r="U106" s="633"/>
      <c r="V106" s="79"/>
      <c r="W106" s="79"/>
      <c r="X106" s="90"/>
      <c r="Y106" s="133"/>
      <c r="Z106" s="93"/>
    </row>
    <row r="107" spans="2:26" ht="17.25" customHeight="1" outlineLevel="1">
      <c r="C107" s="292" t="s">
        <v>1055</v>
      </c>
      <c r="D107" s="644">
        <f>D24</f>
        <v>600</v>
      </c>
      <c r="E107" s="249" t="s">
        <v>1050</v>
      </c>
      <c r="F107" s="255">
        <f>D24</f>
        <v>600</v>
      </c>
      <c r="G107" s="249" t="s">
        <v>1050</v>
      </c>
      <c r="H107" s="125"/>
      <c r="I107" s="292" t="s">
        <v>1055</v>
      </c>
      <c r="J107" s="256">
        <f>IF(D$31="y",(D107/D$105*D$103*D$33/100+F107/F$105*F$103*D$32/100)/J$103*J$105,D107)</f>
        <v>600</v>
      </c>
      <c r="K107" s="245" t="s">
        <v>1050</v>
      </c>
      <c r="L107" s="71"/>
      <c r="M107" s="71"/>
      <c r="N107" s="71"/>
      <c r="O107" s="632"/>
      <c r="P107" s="633"/>
      <c r="Q107" s="633"/>
      <c r="R107" s="633"/>
      <c r="S107" s="633"/>
      <c r="T107" s="633"/>
      <c r="U107" s="633"/>
      <c r="V107" s="93"/>
      <c r="W107" s="79"/>
      <c r="X107" s="90"/>
      <c r="Y107" s="133"/>
      <c r="Z107" s="93"/>
    </row>
    <row r="108" spans="2:26" ht="17.25" customHeight="1" outlineLevel="1">
      <c r="C108" s="292" t="s">
        <v>1056</v>
      </c>
      <c r="D108" s="644">
        <f>IF(D$46="D",G72,D63)*D105</f>
        <v>16458.456673409371</v>
      </c>
      <c r="E108" s="249" t="s">
        <v>1051</v>
      </c>
      <c r="F108" s="255">
        <f>IF(D$47="D",G80,H63)*F105</f>
        <v>5807.8432430725188</v>
      </c>
      <c r="G108" s="249" t="s">
        <v>1051</v>
      </c>
      <c r="H108" s="125"/>
      <c r="I108" s="292" t="s">
        <v>1056</v>
      </c>
      <c r="J108" s="256">
        <f>IF(D$31="y",(D108/D$105*D$103*D$33/100+F108/F$105*F$103*D$32/100)/J$103*J$105,D108)</f>
        <v>16458.456673409371</v>
      </c>
      <c r="K108" s="245" t="s">
        <v>1051</v>
      </c>
      <c r="L108" s="71"/>
      <c r="M108" s="71"/>
      <c r="N108" s="71"/>
      <c r="O108" s="632"/>
      <c r="P108" s="633"/>
      <c r="Q108" s="633"/>
      <c r="R108" s="633"/>
      <c r="S108" s="633"/>
      <c r="T108" s="633"/>
      <c r="U108" s="633"/>
      <c r="W108" s="93"/>
      <c r="X108" s="93"/>
      <c r="Y108" s="93"/>
      <c r="Z108" s="93"/>
    </row>
    <row r="109" spans="2:26" ht="17.25" customHeight="1" outlineLevel="1">
      <c r="C109" s="292" t="s">
        <v>98</v>
      </c>
      <c r="D109" s="639">
        <f>IF(D$46="D",J$71,D$55)</f>
        <v>7.71</v>
      </c>
      <c r="E109" s="249" t="s">
        <v>1070</v>
      </c>
      <c r="F109" s="243">
        <f>IF(D$47="D",J$79,H$55)</f>
        <v>25</v>
      </c>
      <c r="G109" s="249" t="s">
        <v>1070</v>
      </c>
      <c r="H109" s="125"/>
      <c r="I109" s="292" t="s">
        <v>98</v>
      </c>
      <c r="J109" s="244">
        <f>IF(D$31="y",D109*D$33/100+F109*D$32/100,D109)</f>
        <v>7.71</v>
      </c>
      <c r="K109" s="245" t="s">
        <v>1070</v>
      </c>
      <c r="L109" s="71"/>
      <c r="M109" s="71"/>
      <c r="N109" s="71"/>
      <c r="O109" s="632"/>
      <c r="P109" s="633"/>
      <c r="Q109" s="633"/>
      <c r="R109" s="633"/>
      <c r="S109" s="633"/>
      <c r="T109" s="633"/>
      <c r="U109" s="633"/>
      <c r="W109" s="93"/>
      <c r="X109" s="93"/>
      <c r="Y109" s="93"/>
      <c r="Z109" s="93"/>
    </row>
    <row r="110" spans="2:26" ht="17.25" customHeight="1" outlineLevel="1">
      <c r="C110" s="597" t="s">
        <v>798</v>
      </c>
      <c r="D110" s="645">
        <f>+D98*(100-D99-D109)/100</f>
        <v>0.5601600000000001</v>
      </c>
      <c r="E110" s="249" t="s">
        <v>797</v>
      </c>
      <c r="F110" s="636">
        <f>+F98*(100-F99-F109)/100</f>
        <v>7.3000000000000009E-2</v>
      </c>
      <c r="G110" s="249" t="s">
        <v>797</v>
      </c>
      <c r="H110" s="125"/>
      <c r="I110" s="130" t="s">
        <v>798</v>
      </c>
      <c r="J110" s="254">
        <f>IF(D31="Y",((D110*D109*D$33)+(F110*F109*D$32))/(D109*D$33+F109*D$32),D110)</f>
        <v>0.5601600000000001</v>
      </c>
      <c r="K110" s="245" t="s">
        <v>797</v>
      </c>
      <c r="L110" s="71"/>
      <c r="M110" s="71"/>
      <c r="N110" s="71"/>
      <c r="O110" s="632"/>
      <c r="P110" s="633"/>
      <c r="Q110" s="633"/>
      <c r="R110" s="633"/>
      <c r="S110" s="633"/>
      <c r="T110" s="633"/>
      <c r="U110" s="633"/>
      <c r="W110" s="93"/>
      <c r="X110" s="93"/>
      <c r="Y110" s="93"/>
      <c r="Z110" s="93"/>
    </row>
    <row r="111" spans="2:26" ht="17.25" customHeight="1" outlineLevel="1" thickBot="1">
      <c r="C111" s="304" t="s">
        <v>802</v>
      </c>
      <c r="D111" s="649">
        <f>1000*D110/100*((100-D43)/100)/D97*$F9/$D9</f>
        <v>0.49870665739155579</v>
      </c>
      <c r="E111" s="627" t="s">
        <v>799</v>
      </c>
      <c r="F111" s="638">
        <f>1000*F110/100*((100-D43)/100)/F97*$F9/$D9</f>
        <v>0.14586338116032441</v>
      </c>
      <c r="G111" s="627" t="s">
        <v>799</v>
      </c>
      <c r="H111" s="125"/>
      <c r="I111" s="155" t="s">
        <v>802</v>
      </c>
      <c r="J111" s="637">
        <f>IF(D31="Y",((D111*D110*D$33)+(F111*F110*D$32))/(D110*D$33+F110*D$32),D111)</f>
        <v>0.49870665739155579</v>
      </c>
      <c r="K111" s="258" t="s">
        <v>799</v>
      </c>
      <c r="L111" s="71"/>
      <c r="M111" s="71"/>
      <c r="N111" s="71"/>
      <c r="O111" s="632"/>
      <c r="P111" s="633"/>
      <c r="Q111" s="633"/>
      <c r="R111" s="633"/>
      <c r="S111" s="633"/>
      <c r="T111" s="633"/>
      <c r="U111" s="633"/>
      <c r="W111" s="93"/>
      <c r="X111" s="93"/>
      <c r="Y111" s="93"/>
      <c r="Z111" s="93"/>
    </row>
    <row r="112" spans="2:26" ht="17.25" customHeight="1" outlineLevel="1" thickBot="1">
      <c r="C112" s="240"/>
      <c r="D112" s="240"/>
      <c r="E112" s="240"/>
      <c r="F112" s="240"/>
      <c r="G112" s="240"/>
      <c r="H112" s="240"/>
      <c r="I112" s="240"/>
      <c r="J112" s="240"/>
      <c r="K112" s="240"/>
      <c r="L112" s="71"/>
      <c r="M112" s="71"/>
      <c r="N112" s="71"/>
      <c r="O112" s="71"/>
      <c r="P112" s="71"/>
    </row>
    <row r="113" spans="3:22" ht="17.25" customHeight="1" outlineLevel="1">
      <c r="C113" s="240"/>
      <c r="D113" s="259" t="s">
        <v>267</v>
      </c>
      <c r="E113" s="260"/>
      <c r="F113" s="261"/>
      <c r="G113" s="240"/>
      <c r="H113" s="240"/>
      <c r="I113" s="240"/>
      <c r="J113" s="240"/>
      <c r="K113" s="240"/>
      <c r="L113" s="71"/>
      <c r="M113" s="71"/>
      <c r="N113" s="71"/>
      <c r="O113" s="71"/>
      <c r="P113" s="71"/>
    </row>
    <row r="114" spans="3:22" ht="17.25" customHeight="1" outlineLevel="1">
      <c r="C114" s="240"/>
      <c r="D114" s="158" t="s">
        <v>60</v>
      </c>
      <c r="E114" s="262">
        <f>D20/J97*3600/1000</f>
        <v>200.50359775747063</v>
      </c>
      <c r="F114" s="159" t="s">
        <v>269</v>
      </c>
      <c r="G114" s="240"/>
      <c r="H114" s="240"/>
      <c r="I114" s="240"/>
      <c r="J114" s="240"/>
      <c r="K114" s="240"/>
      <c r="L114" s="71"/>
      <c r="M114" s="71"/>
      <c r="N114" s="71"/>
      <c r="O114" s="71"/>
      <c r="P114" s="71"/>
    </row>
    <row r="115" spans="3:22" ht="17.25" customHeight="1" outlineLevel="1" thickBot="1">
      <c r="C115" s="240"/>
      <c r="D115" s="155" t="s">
        <v>268</v>
      </c>
      <c r="E115" s="263">
        <f>(D32*F97)/(D32*F97+(100-D32)*D97)</f>
        <v>0</v>
      </c>
      <c r="F115" s="156" t="s">
        <v>270</v>
      </c>
      <c r="G115" s="240"/>
      <c r="H115" s="240"/>
      <c r="I115" s="240"/>
      <c r="J115" s="240"/>
      <c r="K115" s="240"/>
      <c r="L115" s="71"/>
      <c r="M115" s="71"/>
    </row>
    <row r="116" spans="3:22" ht="17.25" customHeight="1" outlineLevel="1"/>
    <row r="117" spans="3:22" s="75" customFormat="1" ht="30" customHeight="1"/>
    <row r="118" spans="3:22" s="93" customFormat="1" ht="15.75" customHeight="1">
      <c r="T118" s="97"/>
    </row>
    <row r="119" spans="3:22" s="93" customFormat="1" ht="15.75" customHeight="1">
      <c r="T119" s="97"/>
    </row>
    <row r="120" spans="3:22" s="93" customFormat="1" ht="15.75" customHeight="1">
      <c r="T120" s="97"/>
    </row>
    <row r="121" spans="3:22" s="93" customFormat="1" ht="15.75" customHeight="1">
      <c r="D121" s="624"/>
      <c r="F121" s="625"/>
      <c r="J121" s="625"/>
      <c r="T121" s="97"/>
    </row>
    <row r="122" spans="3:22" s="93" customFormat="1">
      <c r="N122" s="72"/>
      <c r="O122" s="72"/>
      <c r="P122" s="72"/>
      <c r="Q122" s="71"/>
      <c r="R122" s="71"/>
      <c r="S122" s="72"/>
      <c r="T122" s="71"/>
      <c r="U122" s="71"/>
      <c r="V122" s="71"/>
    </row>
    <row r="123" spans="3:22">
      <c r="G123" s="626"/>
      <c r="H123" s="626"/>
    </row>
    <row r="130" spans="20:22">
      <c r="T130" s="72"/>
    </row>
    <row r="131" spans="20:22">
      <c r="T131" s="72"/>
    </row>
    <row r="132" spans="20:22">
      <c r="T132" s="72"/>
    </row>
    <row r="133" spans="20:22">
      <c r="T133" s="72"/>
    </row>
    <row r="141" spans="20:22">
      <c r="T141" s="72"/>
    </row>
    <row r="142" spans="20:22">
      <c r="T142" s="72"/>
    </row>
    <row r="143" spans="20:22">
      <c r="T143" s="72"/>
    </row>
    <row r="144" spans="20:22">
      <c r="U144" s="79"/>
      <c r="V144" s="79"/>
    </row>
    <row r="145" spans="23:24">
      <c r="W145" s="79"/>
      <c r="X145" s="79"/>
    </row>
    <row r="146" spans="23:24" ht="15.75" customHeight="1"/>
    <row r="162" spans="21:23" ht="14.25" customHeight="1"/>
    <row r="163" spans="21:23" ht="14.25" customHeight="1"/>
    <row r="164" spans="21:23" ht="15" customHeight="1"/>
    <row r="165" spans="21:23" ht="15">
      <c r="U165" s="136"/>
      <c r="V165" s="136"/>
    </row>
    <row r="166" spans="21:23">
      <c r="U166" s="137"/>
      <c r="V166" s="137"/>
      <c r="W166" s="88"/>
    </row>
    <row r="167" spans="21:23">
      <c r="U167" s="78"/>
      <c r="V167" s="78"/>
      <c r="W167" s="88"/>
    </row>
    <row r="168" spans="21:23">
      <c r="U168" s="78"/>
      <c r="V168" s="78"/>
      <c r="W168" s="88"/>
    </row>
    <row r="169" spans="21:23">
      <c r="U169" s="78"/>
      <c r="V169" s="88"/>
      <c r="W169" s="88"/>
    </row>
    <row r="170" spans="21:23">
      <c r="U170" s="78"/>
      <c r="V170" s="88"/>
    </row>
    <row r="171" spans="21:23">
      <c r="U171" s="78"/>
      <c r="V171" s="88"/>
    </row>
    <row r="172" spans="21:23">
      <c r="U172" s="78"/>
      <c r="V172" s="88"/>
    </row>
    <row r="173" spans="21:23" ht="15" customHeight="1">
      <c r="U173" s="88"/>
      <c r="V173" s="88"/>
    </row>
    <row r="195" ht="14.25" customHeight="1"/>
  </sheetData>
  <mergeCells count="44">
    <mergeCell ref="W79:X79"/>
    <mergeCell ref="V79:V80"/>
    <mergeCell ref="H8:J8"/>
    <mergeCell ref="O22:P22"/>
    <mergeCell ref="Q22:R22"/>
    <mergeCell ref="N20:R20"/>
    <mergeCell ref="N21:R21"/>
    <mergeCell ref="D68:H68"/>
    <mergeCell ref="J76:J78"/>
    <mergeCell ref="I76:I78"/>
    <mergeCell ref="D76:H76"/>
    <mergeCell ref="N39:O39"/>
    <mergeCell ref="J30:L30"/>
    <mergeCell ref="O67:O68"/>
    <mergeCell ref="C67:J67"/>
    <mergeCell ref="C39:E39"/>
    <mergeCell ref="D96:E96"/>
    <mergeCell ref="F96:G96"/>
    <mergeCell ref="I96:K96"/>
    <mergeCell ref="P79:T79"/>
    <mergeCell ref="U79:U80"/>
    <mergeCell ref="U90:U94"/>
    <mergeCell ref="V81:V94"/>
    <mergeCell ref="U67:U68"/>
    <mergeCell ref="V67:V68"/>
    <mergeCell ref="P67:T67"/>
    <mergeCell ref="F1:K1"/>
    <mergeCell ref="F34:H34"/>
    <mergeCell ref="C7:F7"/>
    <mergeCell ref="C8:D8"/>
    <mergeCell ref="E8:F8"/>
    <mergeCell ref="C51:E51"/>
    <mergeCell ref="F30:H30"/>
    <mergeCell ref="F31:F32"/>
    <mergeCell ref="G51:I51"/>
    <mergeCell ref="N30:O30"/>
    <mergeCell ref="N2:P2"/>
    <mergeCell ref="C75:J75"/>
    <mergeCell ref="J68:J70"/>
    <mergeCell ref="C30:D30"/>
    <mergeCell ref="C23:E23"/>
    <mergeCell ref="C25:E25"/>
    <mergeCell ref="C45:E45"/>
    <mergeCell ref="I68:I70"/>
  </mergeCells>
  <phoneticPr fontId="4" type="noConversion"/>
  <printOptions horizontalCentered="1" verticalCentered="1"/>
  <pageMargins left="0" right="0" top="0" bottom="0" header="0" footer="0"/>
  <pageSetup paperSize="9" scale="43" fitToWidth="2" fitToHeight="2" orientation="landscape" r:id="rId1"/>
  <rowBreaks count="3" manualBreakCount="3">
    <brk id="37" max="21" man="1"/>
    <brk id="116" max="21" man="1"/>
    <brk id="181" max="21" man="1"/>
  </rowBreaks>
  <colBreaks count="2" manualBreakCount="2">
    <brk id="12" max="110" man="1"/>
    <brk id="22" max="202" man="1"/>
  </colBreaks>
  <drawing r:id="rId2"/>
  <legacyDrawing r:id="rId3"/>
</worksheet>
</file>

<file path=xl/worksheets/sheet3.xml><?xml version="1.0" encoding="utf-8"?>
<worksheet xmlns="http://schemas.openxmlformats.org/spreadsheetml/2006/main" xmlns:r="http://schemas.openxmlformats.org/officeDocument/2006/relationships">
  <dimension ref="A1:AQ173"/>
  <sheetViews>
    <sheetView workbookViewId="0"/>
  </sheetViews>
  <sheetFormatPr baseColWidth="10" defaultRowHeight="14.25" outlineLevelRow="2" outlineLevelCol="1"/>
  <cols>
    <col min="1" max="1" width="11.42578125" style="71"/>
    <col min="2" max="2" width="18.28515625" style="71" customWidth="1"/>
    <col min="3" max="3" width="46" style="71" customWidth="1"/>
    <col min="4" max="4" width="22.7109375" style="71" customWidth="1"/>
    <col min="5" max="5" width="33.42578125" style="71" bestFit="1" customWidth="1"/>
    <col min="6" max="6" width="25.140625" style="71" customWidth="1"/>
    <col min="7" max="7" width="47.85546875" style="71" bestFit="1" customWidth="1"/>
    <col min="8" max="8" width="34" style="71" customWidth="1"/>
    <col min="9" max="9" width="50.85546875" style="71" bestFit="1" customWidth="1"/>
    <col min="10" max="10" width="22" style="71" customWidth="1"/>
    <col min="11" max="11" width="27.85546875" style="71" bestFit="1" customWidth="1"/>
    <col min="12" max="13" width="24" style="72" customWidth="1"/>
    <col min="14" max="16" width="19.7109375" style="72" customWidth="1"/>
    <col min="17" max="17" width="24.140625" style="71" customWidth="1" outlineLevel="1"/>
    <col min="18" max="18" width="24" style="71" customWidth="1" outlineLevel="1"/>
    <col min="19" max="19" width="20" style="72" customWidth="1" outlineLevel="1"/>
    <col min="20" max="20" width="20.5703125" style="71" customWidth="1" outlineLevel="1"/>
    <col min="21" max="21" width="17.42578125" style="71" customWidth="1" outlineLevel="1"/>
    <col min="22" max="22" width="24.85546875" style="71" customWidth="1" outlineLevel="1"/>
    <col min="23" max="23" width="21.85546875" style="71" customWidth="1" outlineLevel="1"/>
    <col min="24" max="24" width="11.42578125" style="71" customWidth="1" outlineLevel="1"/>
    <col min="25" max="25" width="21" style="71" customWidth="1" outlineLevel="1"/>
    <col min="26" max="26" width="11.28515625" style="71" customWidth="1"/>
    <col min="27" max="16384" width="11.42578125" style="71"/>
  </cols>
  <sheetData>
    <row r="1" spans="2:19" ht="16.5" customHeight="1" thickBot="1">
      <c r="C1" s="240"/>
      <c r="D1" s="240"/>
      <c r="E1" s="240"/>
      <c r="F1" s="1042" t="s">
        <v>240</v>
      </c>
      <c r="G1" s="1043"/>
      <c r="H1" s="1043"/>
      <c r="I1" s="1043"/>
      <c r="J1" s="1043"/>
      <c r="K1" s="1044"/>
      <c r="L1" s="272"/>
    </row>
    <row r="2" spans="2:19" ht="16.5" customHeight="1">
      <c r="C2" s="176" t="s">
        <v>179</v>
      </c>
      <c r="D2" s="273"/>
      <c r="E2" s="240"/>
      <c r="F2" s="274" t="s">
        <v>265</v>
      </c>
      <c r="G2" s="437" t="s">
        <v>266</v>
      </c>
      <c r="H2" s="275" t="s">
        <v>145</v>
      </c>
      <c r="I2" s="274" t="s">
        <v>265</v>
      </c>
      <c r="J2" s="437" t="s">
        <v>266</v>
      </c>
      <c r="K2" s="276" t="s">
        <v>145</v>
      </c>
      <c r="L2" s="272"/>
      <c r="N2" s="1054"/>
      <c r="O2" s="1054"/>
      <c r="P2" s="1054"/>
    </row>
    <row r="3" spans="2:19" ht="16.5" customHeight="1">
      <c r="C3" s="177" t="s">
        <v>181</v>
      </c>
      <c r="D3" s="203"/>
      <c r="E3" s="240"/>
      <c r="F3" s="277" t="s">
        <v>363</v>
      </c>
      <c r="G3" s="278">
        <v>3</v>
      </c>
      <c r="H3" s="230" t="s">
        <v>241</v>
      </c>
      <c r="I3" s="277" t="s">
        <v>242</v>
      </c>
      <c r="J3" s="278">
        <v>15</v>
      </c>
      <c r="K3" s="279" t="s">
        <v>32</v>
      </c>
      <c r="L3" s="272"/>
      <c r="N3" s="91"/>
      <c r="O3" s="91"/>
      <c r="P3" s="79"/>
    </row>
    <row r="4" spans="2:19" ht="16.5" customHeight="1" thickBot="1">
      <c r="C4" s="178" t="s">
        <v>180</v>
      </c>
      <c r="D4" s="203"/>
      <c r="E4" s="240"/>
      <c r="F4" s="280" t="s">
        <v>30</v>
      </c>
      <c r="G4" s="281">
        <v>0.02</v>
      </c>
      <c r="H4" s="282" t="s">
        <v>31</v>
      </c>
      <c r="I4" s="283" t="s">
        <v>521</v>
      </c>
      <c r="J4" s="284">
        <v>0.04</v>
      </c>
      <c r="K4" s="285" t="s">
        <v>243</v>
      </c>
      <c r="L4" s="272"/>
      <c r="N4" s="91"/>
      <c r="O4" s="91"/>
      <c r="P4" s="79"/>
    </row>
    <row r="5" spans="2:19" ht="16.5" customHeight="1">
      <c r="C5" s="286"/>
      <c r="D5" s="286"/>
      <c r="E5" s="240"/>
      <c r="F5" s="240"/>
      <c r="G5" s="240"/>
      <c r="H5" s="240"/>
      <c r="I5" s="280" t="s">
        <v>35</v>
      </c>
      <c r="J5" s="287">
        <f>((1+J4)^J3*J4)/((1+J4)^J3-1)</f>
        <v>8.9941100370973137E-2</v>
      </c>
      <c r="K5" s="288" t="s">
        <v>243</v>
      </c>
      <c r="L5" s="272"/>
      <c r="N5" s="91"/>
      <c r="O5" s="78"/>
      <c r="P5" s="79"/>
    </row>
    <row r="6" spans="2:19" s="75" customFormat="1" ht="30" customHeight="1" thickBot="1">
      <c r="B6" s="73"/>
      <c r="C6" s="74" t="s">
        <v>244</v>
      </c>
      <c r="D6" s="289"/>
      <c r="E6" s="290"/>
      <c r="F6" s="290"/>
      <c r="G6" s="290"/>
      <c r="H6" s="290"/>
      <c r="I6" s="290"/>
      <c r="J6" s="290"/>
      <c r="K6" s="290"/>
      <c r="L6" s="291"/>
      <c r="M6" s="76"/>
      <c r="N6" s="74" t="s">
        <v>323</v>
      </c>
      <c r="P6" s="162"/>
      <c r="S6" s="76"/>
    </row>
    <row r="7" spans="2:19" ht="16.5" customHeight="1" outlineLevel="1" thickBot="1">
      <c r="C7" s="1022" t="s">
        <v>364</v>
      </c>
      <c r="D7" s="1045"/>
      <c r="E7" s="1045"/>
      <c r="F7" s="1023"/>
      <c r="G7" s="240"/>
      <c r="H7" s="240"/>
      <c r="I7" s="240"/>
      <c r="J7" s="240"/>
      <c r="K7" s="240"/>
      <c r="L7" s="272"/>
    </row>
    <row r="8" spans="2:19" ht="16.5" customHeight="1" outlineLevel="1">
      <c r="C8" s="1046" t="s">
        <v>163</v>
      </c>
      <c r="D8" s="1047"/>
      <c r="E8" s="1048" t="s">
        <v>162</v>
      </c>
      <c r="F8" s="1049"/>
      <c r="G8" s="240"/>
      <c r="H8" s="1024" t="s">
        <v>383</v>
      </c>
      <c r="I8" s="1025"/>
      <c r="J8" s="1026"/>
      <c r="K8" s="240"/>
      <c r="L8" s="272"/>
    </row>
    <row r="9" spans="2:19" ht="16.5" customHeight="1" outlineLevel="1">
      <c r="C9" s="292" t="s">
        <v>96</v>
      </c>
      <c r="D9" s="293">
        <v>32.06</v>
      </c>
      <c r="E9" s="242" t="s">
        <v>387</v>
      </c>
      <c r="F9" s="294">
        <f>D9+2*D12</f>
        <v>64.06</v>
      </c>
      <c r="G9" s="240"/>
      <c r="H9" s="158" t="s">
        <v>396</v>
      </c>
      <c r="I9" s="295">
        <v>1.2</v>
      </c>
      <c r="J9" s="159" t="s">
        <v>335</v>
      </c>
      <c r="K9" s="240"/>
      <c r="L9" s="272"/>
    </row>
    <row r="10" spans="2:19" ht="16.5" customHeight="1" outlineLevel="1" thickBot="1">
      <c r="C10" s="292" t="s">
        <v>95</v>
      </c>
      <c r="D10" s="293">
        <v>14</v>
      </c>
      <c r="E10" s="242" t="s">
        <v>388</v>
      </c>
      <c r="F10" s="294">
        <f>2*D10+D12</f>
        <v>44</v>
      </c>
      <c r="G10" s="240"/>
      <c r="H10" s="155" t="s">
        <v>384</v>
      </c>
      <c r="I10" s="440">
        <v>22.414000000000001</v>
      </c>
      <c r="J10" s="156" t="s">
        <v>385</v>
      </c>
      <c r="K10" s="240"/>
      <c r="L10" s="272"/>
    </row>
    <row r="11" spans="2:19" ht="16.5" customHeight="1" outlineLevel="1">
      <c r="C11" s="292" t="s">
        <v>72</v>
      </c>
      <c r="D11" s="293">
        <v>12</v>
      </c>
      <c r="E11" s="242" t="s">
        <v>389</v>
      </c>
      <c r="F11" s="294">
        <f>D11+2*D12</f>
        <v>44</v>
      </c>
      <c r="G11" s="240"/>
      <c r="H11" s="240"/>
      <c r="I11" s="240"/>
      <c r="J11" s="240"/>
      <c r="K11" s="240"/>
      <c r="L11" s="272"/>
    </row>
    <row r="12" spans="2:19" ht="16.5" customHeight="1" outlineLevel="1">
      <c r="C12" s="292" t="s">
        <v>73</v>
      </c>
      <c r="D12" s="293">
        <v>16</v>
      </c>
      <c r="E12" s="242" t="s">
        <v>390</v>
      </c>
      <c r="F12" s="294">
        <f>D10+3*D14</f>
        <v>17</v>
      </c>
      <c r="G12" s="240"/>
      <c r="H12" s="240"/>
      <c r="I12" s="240"/>
      <c r="J12" s="240"/>
      <c r="K12" s="240"/>
      <c r="L12" s="272"/>
    </row>
    <row r="13" spans="2:19" ht="16.5" customHeight="1" outlineLevel="1">
      <c r="C13" s="292" t="s">
        <v>74</v>
      </c>
      <c r="D13" s="293">
        <v>40</v>
      </c>
      <c r="E13" s="242" t="s">
        <v>46</v>
      </c>
      <c r="F13" s="294">
        <f>D11+D12+2*D10+4*D14</f>
        <v>60</v>
      </c>
      <c r="G13" s="240"/>
      <c r="H13" s="240"/>
      <c r="I13" s="240"/>
      <c r="J13" s="240"/>
      <c r="K13" s="240"/>
      <c r="L13" s="272"/>
    </row>
    <row r="14" spans="2:19" ht="16.5" customHeight="1" outlineLevel="1">
      <c r="C14" s="292" t="s">
        <v>93</v>
      </c>
      <c r="D14" s="293">
        <v>1</v>
      </c>
      <c r="E14" s="242" t="s">
        <v>391</v>
      </c>
      <c r="F14" s="294">
        <f>D13+D9+4*D12+2*(D12+2*D14)</f>
        <v>172.06</v>
      </c>
      <c r="G14" s="240"/>
      <c r="H14" s="240"/>
      <c r="I14" s="240"/>
      <c r="J14" s="240"/>
      <c r="K14" s="240"/>
      <c r="L14" s="272"/>
    </row>
    <row r="15" spans="2:19" ht="16.5" customHeight="1" outlineLevel="1">
      <c r="C15" s="292"/>
      <c r="D15" s="293"/>
      <c r="E15" s="242" t="s">
        <v>392</v>
      </c>
      <c r="F15" s="294">
        <f>D13+D11+3*D12</f>
        <v>100</v>
      </c>
      <c r="G15" s="240"/>
      <c r="H15" s="240"/>
      <c r="I15" s="240"/>
      <c r="J15" s="240"/>
      <c r="K15" s="240"/>
      <c r="L15" s="272"/>
    </row>
    <row r="16" spans="2:19" ht="16.5" customHeight="1" outlineLevel="1" thickBot="1">
      <c r="C16" s="296"/>
      <c r="D16" s="297"/>
      <c r="E16" s="235" t="s">
        <v>393</v>
      </c>
      <c r="F16" s="298">
        <f>D12+2*D14</f>
        <v>18</v>
      </c>
      <c r="G16" s="240"/>
      <c r="H16" s="240"/>
      <c r="I16" s="240"/>
      <c r="J16" s="240"/>
      <c r="K16" s="240"/>
      <c r="L16" s="272"/>
    </row>
    <row r="17" spans="2:19" ht="16.5" customHeight="1" outlineLevel="1">
      <c r="C17" s="286"/>
      <c r="D17" s="286"/>
      <c r="E17" s="295"/>
      <c r="F17" s="295"/>
      <c r="G17" s="240"/>
      <c r="H17" s="240"/>
      <c r="I17" s="240"/>
      <c r="J17" s="240"/>
      <c r="K17" s="240"/>
      <c r="L17" s="272"/>
    </row>
    <row r="18" spans="2:19" s="75" customFormat="1" ht="30" customHeight="1">
      <c r="B18" s="73"/>
      <c r="C18" s="74" t="s">
        <v>245</v>
      </c>
      <c r="D18" s="289"/>
      <c r="E18" s="290"/>
      <c r="F18" s="290"/>
      <c r="G18" s="290"/>
      <c r="H18" s="290"/>
      <c r="I18" s="290"/>
      <c r="J18" s="290"/>
      <c r="K18" s="290"/>
      <c r="L18" s="291"/>
      <c r="M18" s="76"/>
      <c r="N18" s="74" t="s">
        <v>322</v>
      </c>
      <c r="O18" s="76"/>
      <c r="P18" s="76"/>
      <c r="S18" s="76"/>
    </row>
    <row r="19" spans="2:19" ht="16.5" customHeight="1" outlineLevel="1" thickBot="1">
      <c r="C19" s="286"/>
      <c r="D19" s="286"/>
      <c r="E19" s="240"/>
      <c r="F19" s="240"/>
      <c r="G19" s="240"/>
      <c r="H19" s="240"/>
      <c r="I19" s="240"/>
      <c r="J19" s="240"/>
      <c r="K19" s="240"/>
      <c r="L19" s="272"/>
    </row>
    <row r="20" spans="2:19" ht="16.5" customHeight="1" outlineLevel="1">
      <c r="C20" s="299" t="s">
        <v>365</v>
      </c>
      <c r="D20" s="300">
        <v>1250</v>
      </c>
      <c r="E20" s="301" t="s">
        <v>366</v>
      </c>
      <c r="F20" s="240"/>
      <c r="G20" s="240"/>
      <c r="H20" s="240"/>
      <c r="I20" s="240"/>
      <c r="J20" s="240"/>
      <c r="K20" s="240"/>
      <c r="L20" s="272"/>
      <c r="N20" s="585" t="s">
        <v>386</v>
      </c>
      <c r="O20" s="586"/>
      <c r="P20" s="587"/>
      <c r="Q20" s="72"/>
      <c r="S20" s="71"/>
    </row>
    <row r="21" spans="2:19" ht="16.5" customHeight="1" outlineLevel="1" thickBot="1">
      <c r="C21" s="155" t="s">
        <v>397</v>
      </c>
      <c r="D21" s="302">
        <v>40</v>
      </c>
      <c r="E21" s="156" t="s">
        <v>90</v>
      </c>
      <c r="F21" s="240"/>
      <c r="G21" s="240"/>
      <c r="H21" s="240"/>
      <c r="I21" s="240"/>
      <c r="J21" s="240"/>
      <c r="K21" s="240"/>
      <c r="L21" s="272"/>
      <c r="N21" s="1072" t="s">
        <v>0</v>
      </c>
      <c r="O21" s="1070"/>
      <c r="P21" s="591"/>
      <c r="S21" s="71"/>
    </row>
    <row r="22" spans="2:19" ht="16.5" customHeight="1" outlineLevel="1" thickBot="1">
      <c r="C22" s="286"/>
      <c r="D22" s="286"/>
      <c r="E22" s="240"/>
      <c r="F22" s="240"/>
      <c r="G22" s="240"/>
      <c r="H22" s="240"/>
      <c r="I22" s="240"/>
      <c r="J22" s="240"/>
      <c r="K22" s="240"/>
      <c r="L22" s="272"/>
      <c r="N22" s="274"/>
      <c r="O22" s="274" t="s">
        <v>925</v>
      </c>
      <c r="P22" s="592"/>
      <c r="S22" s="71"/>
    </row>
    <row r="23" spans="2:19" ht="16.5" customHeight="1" outlineLevel="1">
      <c r="C23" s="1024" t="s">
        <v>247</v>
      </c>
      <c r="D23" s="1025"/>
      <c r="E23" s="1026"/>
      <c r="F23" s="240"/>
      <c r="G23" s="240"/>
      <c r="H23" s="240"/>
      <c r="I23" s="240"/>
      <c r="J23" s="240"/>
      <c r="K23" s="240"/>
      <c r="L23" s="272"/>
      <c r="N23" s="274"/>
      <c r="O23" s="584"/>
      <c r="P23" s="592"/>
      <c r="S23" s="71"/>
    </row>
    <row r="24" spans="2:19" ht="16.5" customHeight="1" outlineLevel="1">
      <c r="C24" s="158" t="s">
        <v>408</v>
      </c>
      <c r="D24" s="265">
        <v>500</v>
      </c>
      <c r="E24" s="159" t="s">
        <v>409</v>
      </c>
      <c r="F24" s="240"/>
      <c r="G24" s="240"/>
      <c r="H24" s="240"/>
      <c r="I24" s="240"/>
      <c r="J24" s="240"/>
      <c r="K24" s="240"/>
      <c r="L24" s="272"/>
      <c r="N24" s="274" t="s">
        <v>926</v>
      </c>
      <c r="O24" s="589" t="s">
        <v>929</v>
      </c>
      <c r="P24" s="592"/>
      <c r="S24" s="71"/>
    </row>
    <row r="25" spans="2:19" ht="16.5" customHeight="1" outlineLevel="1" thickBot="1">
      <c r="C25" s="1027" t="s">
        <v>246</v>
      </c>
      <c r="D25" s="1028"/>
      <c r="E25" s="1029"/>
      <c r="F25" s="240"/>
      <c r="G25" s="240"/>
      <c r="H25" s="240"/>
      <c r="I25" s="240"/>
      <c r="J25" s="240"/>
      <c r="K25" s="240"/>
      <c r="L25" s="272"/>
      <c r="N25" s="274" t="s">
        <v>927</v>
      </c>
      <c r="O25" s="589" t="s">
        <v>930</v>
      </c>
      <c r="P25" s="592"/>
      <c r="S25" s="71"/>
    </row>
    <row r="26" spans="2:19" ht="16.5" customHeight="1" outlineLevel="1">
      <c r="C26" s="240"/>
      <c r="D26" s="240"/>
      <c r="E26" s="240"/>
      <c r="F26" s="240"/>
      <c r="G26" s="240"/>
      <c r="H26" s="240"/>
      <c r="I26" s="240"/>
      <c r="J26" s="240"/>
      <c r="K26" s="240"/>
      <c r="L26" s="272"/>
      <c r="N26" s="588" t="s">
        <v>928</v>
      </c>
      <c r="O26" s="590" t="s">
        <v>934</v>
      </c>
      <c r="P26" s="593"/>
      <c r="S26" s="71"/>
    </row>
    <row r="27" spans="2:19" ht="16.5" customHeight="1" outlineLevel="1">
      <c r="C27" s="240"/>
      <c r="D27" s="240"/>
      <c r="E27" s="240"/>
      <c r="F27" s="240"/>
      <c r="G27" s="240"/>
      <c r="H27" s="242"/>
      <c r="I27" s="203"/>
      <c r="J27" s="203"/>
      <c r="K27" s="303"/>
      <c r="L27" s="303"/>
      <c r="M27" s="120"/>
      <c r="N27" s="303"/>
      <c r="O27" s="303"/>
      <c r="P27" s="303"/>
      <c r="Q27" s="240"/>
      <c r="R27" s="240"/>
    </row>
    <row r="28" spans="2:19" s="75" customFormat="1" ht="30" customHeight="1">
      <c r="B28" s="73"/>
      <c r="C28" s="74" t="s">
        <v>251</v>
      </c>
      <c r="D28" s="121"/>
      <c r="E28" s="121"/>
      <c r="F28" s="121"/>
      <c r="G28" s="121"/>
      <c r="H28" s="121"/>
      <c r="I28" s="121"/>
      <c r="J28" s="121"/>
      <c r="K28" s="121"/>
      <c r="L28" s="121"/>
      <c r="M28" s="121"/>
      <c r="N28" s="74" t="s">
        <v>324</v>
      </c>
      <c r="O28" s="121"/>
      <c r="P28" s="121"/>
      <c r="Q28" s="121"/>
      <c r="R28" s="290"/>
      <c r="S28" s="76"/>
    </row>
    <row r="29" spans="2:19" s="93" customFormat="1" ht="16.5" customHeight="1" outlineLevel="1" thickBot="1">
      <c r="B29" s="122"/>
      <c r="C29" s="123"/>
      <c r="D29" s="124"/>
      <c r="E29" s="124"/>
      <c r="F29" s="124"/>
      <c r="G29" s="124"/>
      <c r="H29" s="124"/>
      <c r="I29" s="124"/>
      <c r="J29" s="124"/>
      <c r="K29" s="124"/>
      <c r="L29" s="124"/>
      <c r="M29" s="124"/>
      <c r="N29" s="124"/>
      <c r="O29" s="124"/>
      <c r="P29" s="124"/>
      <c r="Q29" s="124"/>
      <c r="R29" s="125"/>
      <c r="S29" s="97"/>
    </row>
    <row r="30" spans="2:19" s="93" customFormat="1" ht="16.5" customHeight="1" outlineLevel="1">
      <c r="B30" s="122"/>
      <c r="C30" s="1050" t="s">
        <v>331</v>
      </c>
      <c r="D30" s="1051"/>
      <c r="E30" s="1052"/>
      <c r="G30" s="1050" t="s">
        <v>45</v>
      </c>
      <c r="H30" s="1051"/>
      <c r="I30" s="1052"/>
      <c r="N30" s="1022" t="s">
        <v>255</v>
      </c>
      <c r="O30" s="1023"/>
      <c r="P30" s="124"/>
      <c r="Q30" s="125"/>
      <c r="R30" s="125"/>
      <c r="S30" s="97"/>
    </row>
    <row r="31" spans="2:19" s="93" customFormat="1" ht="16.5" customHeight="1" outlineLevel="1">
      <c r="B31" s="122"/>
      <c r="C31" s="1053" t="s">
        <v>107</v>
      </c>
      <c r="D31" s="265">
        <v>100</v>
      </c>
      <c r="E31" s="159" t="s">
        <v>87</v>
      </c>
      <c r="G31" s="158" t="s">
        <v>161</v>
      </c>
      <c r="H31" s="265">
        <v>450</v>
      </c>
      <c r="I31" s="159" t="s">
        <v>38</v>
      </c>
      <c r="N31" s="318" t="s">
        <v>127</v>
      </c>
      <c r="O31" s="326" t="s">
        <v>128</v>
      </c>
      <c r="P31" s="124"/>
      <c r="Q31" s="125"/>
      <c r="R31" s="125"/>
      <c r="S31" s="97"/>
    </row>
    <row r="32" spans="2:19" s="93" customFormat="1" ht="16.5" customHeight="1" outlineLevel="1">
      <c r="B32" s="122"/>
      <c r="C32" s="1053"/>
      <c r="D32" s="265"/>
      <c r="E32" s="159" t="s">
        <v>88</v>
      </c>
      <c r="G32" s="158" t="s">
        <v>46</v>
      </c>
      <c r="H32" s="265">
        <v>220</v>
      </c>
      <c r="I32" s="159" t="s">
        <v>38</v>
      </c>
      <c r="N32" s="318" t="s">
        <v>129</v>
      </c>
      <c r="O32" s="326" t="s">
        <v>130</v>
      </c>
      <c r="P32" s="124"/>
      <c r="Q32" s="125"/>
      <c r="R32" s="125"/>
      <c r="S32" s="97"/>
    </row>
    <row r="33" spans="2:19" s="93" customFormat="1" ht="16.5" customHeight="1" outlineLevel="1">
      <c r="B33" s="122"/>
      <c r="C33" s="158" t="s">
        <v>108</v>
      </c>
      <c r="D33" s="306">
        <f>IF(D31=0,D32/8760*100,D31)</f>
        <v>100</v>
      </c>
      <c r="E33" s="159" t="s">
        <v>87</v>
      </c>
      <c r="G33" s="158" t="s">
        <v>47</v>
      </c>
      <c r="H33" s="265">
        <v>60</v>
      </c>
      <c r="I33" s="159" t="s">
        <v>48</v>
      </c>
      <c r="N33" s="318" t="s">
        <v>131</v>
      </c>
      <c r="O33" s="326" t="s">
        <v>132</v>
      </c>
      <c r="P33" s="124"/>
      <c r="Q33" s="125"/>
      <c r="R33" s="125"/>
      <c r="S33" s="97"/>
    </row>
    <row r="34" spans="2:19" s="93" customFormat="1" ht="16.5" customHeight="1" outlineLevel="1" thickBot="1">
      <c r="B34" s="122"/>
      <c r="C34" s="1027" t="s">
        <v>246</v>
      </c>
      <c r="D34" s="1028"/>
      <c r="E34" s="1029"/>
      <c r="G34" s="308" t="s">
        <v>520</v>
      </c>
      <c r="H34" s="309">
        <v>4.1399999999999999E-2</v>
      </c>
      <c r="I34" s="156" t="s">
        <v>20</v>
      </c>
      <c r="M34" s="124"/>
      <c r="N34" s="323" t="s">
        <v>1157</v>
      </c>
      <c r="O34" s="327" t="s">
        <v>133</v>
      </c>
      <c r="P34" s="124"/>
      <c r="Q34" s="125"/>
      <c r="R34" s="125"/>
      <c r="S34" s="97"/>
    </row>
    <row r="35" spans="2:19" s="93" customFormat="1" ht="16.5" customHeight="1" outlineLevel="1" thickBot="1">
      <c r="B35" s="122"/>
      <c r="C35" s="242"/>
      <c r="D35" s="307"/>
      <c r="E35" s="125"/>
      <c r="F35" s="295"/>
      <c r="G35" s="308" t="s">
        <v>520</v>
      </c>
      <c r="H35" s="389">
        <f>0.000117/(1000*1.7*2.49)</f>
        <v>2.7639971651311127E-8</v>
      </c>
      <c r="I35" s="156" t="s">
        <v>459</v>
      </c>
      <c r="M35" s="124"/>
      <c r="N35" s="269" t="s">
        <v>134</v>
      </c>
      <c r="O35" s="242"/>
      <c r="P35" s="124"/>
      <c r="Q35" s="125"/>
      <c r="R35" s="125"/>
      <c r="S35" s="97"/>
    </row>
    <row r="36" spans="2:19" s="93" customFormat="1" ht="16.5" customHeight="1" outlineLevel="1">
      <c r="B36" s="122"/>
      <c r="C36" s="123"/>
      <c r="D36" s="124"/>
      <c r="E36" s="124"/>
      <c r="F36" s="125"/>
      <c r="G36" s="125"/>
      <c r="H36" s="124"/>
      <c r="I36" s="124"/>
      <c r="J36" s="124"/>
      <c r="K36" s="124"/>
      <c r="L36" s="124"/>
      <c r="M36" s="124"/>
      <c r="N36" s="124"/>
      <c r="O36" s="124"/>
      <c r="P36" s="124"/>
      <c r="Q36" s="124"/>
      <c r="R36" s="125"/>
      <c r="S36" s="97"/>
    </row>
    <row r="37" spans="2:19" s="75" customFormat="1" ht="30" customHeight="1">
      <c r="B37" s="73"/>
      <c r="C37" s="74" t="s">
        <v>249</v>
      </c>
      <c r="D37" s="121"/>
      <c r="E37" s="121"/>
      <c r="F37" s="121"/>
      <c r="G37" s="121"/>
      <c r="H37" s="121"/>
      <c r="I37" s="121"/>
      <c r="J37" s="121"/>
      <c r="K37" s="121"/>
      <c r="L37" s="121"/>
      <c r="M37" s="121"/>
      <c r="N37" s="74" t="s">
        <v>325</v>
      </c>
      <c r="O37" s="121"/>
      <c r="P37" s="121"/>
      <c r="Q37" s="121"/>
      <c r="R37" s="290"/>
      <c r="S37" s="76"/>
    </row>
    <row r="38" spans="2:19" ht="16.5" customHeight="1" outlineLevel="2" thickBot="1">
      <c r="C38" s="240"/>
      <c r="D38" s="240"/>
      <c r="E38" s="240"/>
      <c r="F38" s="240"/>
      <c r="G38" s="240"/>
      <c r="H38" s="240"/>
      <c r="I38" s="240"/>
      <c r="J38" s="240"/>
      <c r="K38" s="240"/>
      <c r="L38" s="272"/>
      <c r="N38" s="272"/>
      <c r="O38" s="272"/>
      <c r="P38" s="272"/>
      <c r="Q38" s="240"/>
      <c r="R38" s="240"/>
    </row>
    <row r="39" spans="2:19" ht="16.5" customHeight="1" outlineLevel="2">
      <c r="C39" s="1050" t="s">
        <v>250</v>
      </c>
      <c r="D39" s="1051"/>
      <c r="E39" s="1052"/>
      <c r="F39" s="240"/>
      <c r="G39" s="240"/>
      <c r="H39" s="240"/>
      <c r="I39" s="240"/>
      <c r="J39" s="240"/>
      <c r="K39" s="311"/>
      <c r="L39" s="272"/>
      <c r="N39" s="1022" t="s">
        <v>398</v>
      </c>
      <c r="O39" s="1023"/>
      <c r="P39" s="272"/>
      <c r="Q39" s="240"/>
      <c r="R39" s="240"/>
    </row>
    <row r="40" spans="2:19" ht="16.5" customHeight="1" outlineLevel="2">
      <c r="C40" s="312" t="s">
        <v>399</v>
      </c>
      <c r="D40" s="313">
        <v>1.2</v>
      </c>
      <c r="E40" s="314" t="s">
        <v>329</v>
      </c>
      <c r="F40" s="240"/>
      <c r="G40" s="240"/>
      <c r="H40" s="240"/>
      <c r="I40" s="240"/>
      <c r="J40" s="240"/>
      <c r="K40" s="311"/>
      <c r="L40" s="272"/>
      <c r="N40" s="130" t="s">
        <v>353</v>
      </c>
      <c r="O40" s="328" t="s">
        <v>358</v>
      </c>
      <c r="P40" s="272"/>
      <c r="Q40" s="240"/>
      <c r="R40" s="240"/>
    </row>
    <row r="41" spans="2:19" ht="16.5" customHeight="1" outlineLevel="2">
      <c r="C41" s="158" t="s">
        <v>367</v>
      </c>
      <c r="D41" s="265">
        <v>2</v>
      </c>
      <c r="E41" s="159" t="s">
        <v>248</v>
      </c>
      <c r="F41" s="240"/>
      <c r="G41" s="240"/>
      <c r="H41" s="240"/>
      <c r="I41" s="240"/>
      <c r="J41" s="240"/>
      <c r="K41" s="315"/>
      <c r="L41" s="272"/>
      <c r="N41" s="130" t="s">
        <v>354</v>
      </c>
      <c r="O41" s="328" t="s">
        <v>359</v>
      </c>
      <c r="P41" s="272"/>
      <c r="Q41" s="240"/>
      <c r="R41" s="240"/>
    </row>
    <row r="42" spans="2:19" ht="16.5" customHeight="1" outlineLevel="2">
      <c r="C42" s="158" t="s">
        <v>105</v>
      </c>
      <c r="D42" s="265">
        <v>1</v>
      </c>
      <c r="E42" s="159" t="s">
        <v>104</v>
      </c>
      <c r="F42" s="240"/>
      <c r="G42" s="240"/>
      <c r="H42" s="240"/>
      <c r="I42" s="240"/>
      <c r="J42" s="240"/>
      <c r="K42" s="242"/>
      <c r="L42" s="272"/>
      <c r="N42" s="130" t="s">
        <v>258</v>
      </c>
      <c r="O42" s="328"/>
      <c r="P42" s="272"/>
      <c r="Q42" s="240"/>
      <c r="R42" s="240"/>
    </row>
    <row r="43" spans="2:19" ht="16.5" customHeight="1" outlineLevel="2" thickBot="1">
      <c r="C43" s="155" t="s">
        <v>106</v>
      </c>
      <c r="D43" s="316">
        <v>0</v>
      </c>
      <c r="E43" s="156" t="s">
        <v>103</v>
      </c>
      <c r="F43" s="240"/>
      <c r="G43" s="240"/>
      <c r="H43" s="240"/>
      <c r="I43" s="240"/>
      <c r="J43" s="240"/>
      <c r="K43" s="242"/>
      <c r="L43" s="272"/>
      <c r="N43" s="329" t="s">
        <v>355</v>
      </c>
      <c r="O43" s="328" t="s">
        <v>360</v>
      </c>
      <c r="P43" s="272"/>
      <c r="Q43" s="240"/>
      <c r="R43" s="240"/>
    </row>
    <row r="44" spans="2:19" ht="16.5" customHeight="1" outlineLevel="2" thickBot="1">
      <c r="C44" s="240"/>
      <c r="D44" s="240"/>
      <c r="E44" s="240"/>
      <c r="F44" s="240"/>
      <c r="G44" s="240"/>
      <c r="H44" s="240"/>
      <c r="I44" s="240"/>
      <c r="J44" s="240"/>
      <c r="K44" s="242"/>
      <c r="L44" s="272"/>
      <c r="N44" s="329" t="s">
        <v>356</v>
      </c>
      <c r="O44" s="328" t="s">
        <v>361</v>
      </c>
      <c r="P44" s="272"/>
      <c r="Q44" s="240"/>
      <c r="R44" s="240"/>
    </row>
    <row r="45" spans="2:19" ht="16.5" customHeight="1" outlineLevel="2" thickBot="1">
      <c r="C45" s="1030" t="s">
        <v>257</v>
      </c>
      <c r="D45" s="1031"/>
      <c r="E45" s="1032"/>
      <c r="F45" s="240"/>
      <c r="G45" s="240"/>
      <c r="H45" s="240"/>
      <c r="I45" s="240"/>
      <c r="J45" s="240"/>
      <c r="K45" s="242"/>
      <c r="L45" s="272"/>
      <c r="N45" s="330" t="s">
        <v>357</v>
      </c>
      <c r="O45" s="298" t="s">
        <v>362</v>
      </c>
      <c r="P45" s="272"/>
      <c r="Q45" s="240"/>
      <c r="R45" s="240"/>
    </row>
    <row r="46" spans="2:19" ht="16.5" customHeight="1" outlineLevel="2" thickBot="1">
      <c r="C46" s="155" t="s">
        <v>601</v>
      </c>
      <c r="D46" s="317" t="s">
        <v>352</v>
      </c>
      <c r="E46" s="156" t="s">
        <v>271</v>
      </c>
      <c r="F46" s="240"/>
      <c r="G46" s="240"/>
      <c r="H46" s="240"/>
      <c r="I46" s="240"/>
      <c r="J46" s="240"/>
      <c r="K46" s="242"/>
      <c r="L46" s="272"/>
      <c r="N46" s="331"/>
      <c r="O46" s="272"/>
      <c r="P46" s="272"/>
      <c r="Q46" s="240"/>
      <c r="R46" s="240"/>
    </row>
    <row r="47" spans="2:19" ht="16.5" customHeight="1" outlineLevel="2">
      <c r="C47" s="242"/>
      <c r="D47" s="203"/>
      <c r="E47" s="242"/>
      <c r="F47" s="240"/>
      <c r="G47" s="240"/>
      <c r="H47" s="240"/>
      <c r="I47" s="240"/>
      <c r="J47" s="240"/>
      <c r="K47" s="242"/>
      <c r="L47" s="272"/>
      <c r="N47" s="272"/>
      <c r="O47" s="272"/>
      <c r="P47" s="272"/>
      <c r="Q47" s="240"/>
      <c r="R47" s="240"/>
    </row>
    <row r="48" spans="2:19" ht="16.5" customHeight="1" outlineLevel="2">
      <c r="K48" s="79"/>
    </row>
    <row r="49" spans="2:19" s="126" customFormat="1" ht="30" customHeight="1" outlineLevel="1">
      <c r="C49" s="128"/>
      <c r="D49" s="129" t="s">
        <v>256</v>
      </c>
      <c r="F49" s="153"/>
      <c r="G49" s="153"/>
      <c r="H49" s="153"/>
      <c r="I49" s="153"/>
      <c r="J49" s="153"/>
      <c r="K49" s="153"/>
      <c r="L49" s="127"/>
      <c r="M49" s="127"/>
      <c r="N49" s="129"/>
      <c r="O49" s="127"/>
      <c r="P49" s="127"/>
      <c r="S49" s="127"/>
    </row>
    <row r="50" spans="2:19" s="93" customFormat="1" ht="16.5" customHeight="1" outlineLevel="2" thickBot="1">
      <c r="C50" s="122"/>
      <c r="D50" s="123"/>
      <c r="F50" s="131"/>
      <c r="G50" s="131"/>
      <c r="H50" s="131"/>
      <c r="I50" s="131"/>
      <c r="J50" s="131"/>
      <c r="K50" s="131"/>
      <c r="L50" s="97"/>
      <c r="M50" s="97"/>
      <c r="N50" s="97"/>
      <c r="O50" s="97"/>
      <c r="P50" s="97"/>
      <c r="S50" s="97"/>
    </row>
    <row r="51" spans="2:19" ht="16.5" customHeight="1" outlineLevel="2">
      <c r="B51" s="79"/>
      <c r="C51" s="1050" t="s">
        <v>600</v>
      </c>
      <c r="D51" s="1051"/>
      <c r="E51" s="1052"/>
      <c r="F51" s="242"/>
      <c r="G51" s="1050" t="s">
        <v>955</v>
      </c>
      <c r="H51" s="1052"/>
      <c r="I51" s="271"/>
      <c r="J51" s="79"/>
      <c r="K51" s="79"/>
    </row>
    <row r="52" spans="2:19" ht="16.5" customHeight="1" outlineLevel="2">
      <c r="C52" s="130" t="s">
        <v>378</v>
      </c>
      <c r="D52" s="488">
        <v>42.44</v>
      </c>
      <c r="E52" s="159" t="s">
        <v>100</v>
      </c>
      <c r="F52" s="240"/>
      <c r="G52" s="80" t="s">
        <v>954</v>
      </c>
      <c r="H52" s="628">
        <v>1.2</v>
      </c>
      <c r="I52" s="242"/>
    </row>
    <row r="53" spans="2:19" ht="18.75" outlineLevel="2">
      <c r="C53" s="130" t="s">
        <v>368</v>
      </c>
      <c r="D53" s="488">
        <v>1</v>
      </c>
      <c r="E53" s="159" t="s">
        <v>109</v>
      </c>
      <c r="F53" s="240"/>
      <c r="G53" s="597" t="s">
        <v>953</v>
      </c>
      <c r="H53" s="598">
        <v>1</v>
      </c>
      <c r="I53" s="242"/>
    </row>
    <row r="54" spans="2:19" ht="19.5" outlineLevel="2" thickBot="1">
      <c r="C54" s="130" t="s">
        <v>369</v>
      </c>
      <c r="D54" s="488">
        <v>0.1</v>
      </c>
      <c r="E54" s="159" t="s">
        <v>91</v>
      </c>
      <c r="F54" s="240"/>
      <c r="G54" s="308" t="s">
        <v>952</v>
      </c>
      <c r="H54" s="258">
        <f>52.92-11.93*H52-0.29*H53</f>
        <v>38.314</v>
      </c>
      <c r="I54" s="242"/>
    </row>
    <row r="55" spans="2:19" ht="18.75" outlineLevel="2">
      <c r="C55" s="130" t="s">
        <v>370</v>
      </c>
      <c r="D55" s="488">
        <v>0.5</v>
      </c>
      <c r="E55" s="159" t="s">
        <v>110</v>
      </c>
      <c r="F55" s="240"/>
      <c r="H55" s="242"/>
      <c r="I55" s="242"/>
    </row>
    <row r="56" spans="2:19" ht="18.75" outlineLevel="2">
      <c r="C56" s="130" t="s">
        <v>948</v>
      </c>
      <c r="D56" s="267">
        <f>0.225*D52+1.119</f>
        <v>10.667999999999999</v>
      </c>
      <c r="E56" s="159" t="s">
        <v>946</v>
      </c>
      <c r="F56" s="240"/>
      <c r="G56" s="443"/>
      <c r="H56" s="267"/>
      <c r="I56" s="242"/>
    </row>
    <row r="57" spans="2:19" ht="18.75" outlineLevel="2">
      <c r="C57" s="130" t="s">
        <v>372</v>
      </c>
      <c r="D57" s="267">
        <f>(D40-1)*(0.3437*D52-0.425)/I9</f>
        <v>2.3602713333333325</v>
      </c>
      <c r="E57" s="159" t="s">
        <v>602</v>
      </c>
      <c r="F57" s="242"/>
      <c r="G57" s="443"/>
      <c r="H57" s="267"/>
      <c r="I57" s="242"/>
    </row>
    <row r="58" spans="2:19" ht="16.5" outlineLevel="2">
      <c r="C58" s="130" t="s">
        <v>373</v>
      </c>
      <c r="D58" s="267">
        <f>(D55/F16+10/2)*0.22414</f>
        <v>1.1269261111111111</v>
      </c>
      <c r="E58" s="159" t="s">
        <v>603</v>
      </c>
      <c r="F58" s="242"/>
      <c r="G58" s="443"/>
      <c r="H58" s="267"/>
      <c r="I58" s="242"/>
    </row>
    <row r="59" spans="2:19" ht="18.75" outlineLevel="2">
      <c r="C59" s="130" t="s">
        <v>400</v>
      </c>
      <c r="D59" s="267">
        <f>D56+D57+D58</f>
        <v>14.155197444444443</v>
      </c>
      <c r="E59" s="249" t="s">
        <v>949</v>
      </c>
      <c r="F59" s="242"/>
      <c r="G59" s="443"/>
      <c r="H59" s="267"/>
      <c r="I59" s="242"/>
    </row>
    <row r="60" spans="2:19" ht="18.75" outlineLevel="2">
      <c r="C60" s="130" t="s">
        <v>947</v>
      </c>
      <c r="D60" s="267">
        <f>D57*0.21/(D56+D57)*100</f>
        <v>3.8044723457043941</v>
      </c>
      <c r="E60" s="249" t="s">
        <v>405</v>
      </c>
      <c r="F60" s="242"/>
      <c r="G60" s="443"/>
      <c r="H60" s="252"/>
      <c r="I60" s="242"/>
    </row>
    <row r="61" spans="2:19" ht="18.75" outlineLevel="2">
      <c r="C61" s="130" t="s">
        <v>375</v>
      </c>
      <c r="D61" s="253">
        <f>((21-G3)/(21-D60))</f>
        <v>1.0467838127376934</v>
      </c>
      <c r="E61" s="159" t="s">
        <v>406</v>
      </c>
      <c r="F61" s="242"/>
      <c r="G61" s="443"/>
      <c r="H61" s="267"/>
      <c r="I61" s="242"/>
    </row>
    <row r="62" spans="2:19" ht="18.75" outlineLevel="2">
      <c r="C62" s="268" t="s">
        <v>380</v>
      </c>
      <c r="D62" s="256">
        <f>(D53*(100-D54-D55)/10^4)*10^6/$D9*$F9/(D56+D57)*((100-$D43)/100)</f>
        <v>1524.4844747051377</v>
      </c>
      <c r="E62" s="245" t="s">
        <v>407</v>
      </c>
      <c r="F62" s="269"/>
      <c r="G62" s="242"/>
      <c r="H62" s="255"/>
      <c r="I62" s="242"/>
    </row>
    <row r="63" spans="2:19" ht="19.5" outlineLevel="2" thickBot="1">
      <c r="C63" s="270" t="s">
        <v>381</v>
      </c>
      <c r="D63" s="257">
        <f>D54/(100-$D41)*10^6/(D56+D57)*((100-$D42)/100)</f>
        <v>77.539379998020706</v>
      </c>
      <c r="E63" s="258" t="s">
        <v>407</v>
      </c>
      <c r="F63" s="240"/>
      <c r="G63" s="242"/>
      <c r="H63" s="255"/>
      <c r="I63" s="242"/>
    </row>
    <row r="64" spans="2:19" ht="15" customHeight="1" outlineLevel="2">
      <c r="C64" s="240"/>
      <c r="D64" s="240"/>
      <c r="E64" s="240"/>
      <c r="F64" s="240"/>
      <c r="G64" s="240"/>
      <c r="H64" s="271"/>
      <c r="I64" s="209"/>
    </row>
    <row r="65" spans="2:43" s="126" customFormat="1" ht="30" customHeight="1" outlineLevel="1">
      <c r="C65" s="129"/>
      <c r="D65" s="129" t="s">
        <v>263</v>
      </c>
      <c r="F65" s="153"/>
      <c r="G65" s="153"/>
      <c r="H65" s="153"/>
      <c r="I65" s="153"/>
      <c r="J65" s="153"/>
      <c r="K65" s="153"/>
      <c r="L65" s="127"/>
      <c r="M65" s="127"/>
      <c r="N65" s="129" t="s">
        <v>326</v>
      </c>
      <c r="O65" s="127"/>
      <c r="P65" s="127"/>
      <c r="S65" s="127"/>
    </row>
    <row r="66" spans="2:43" s="93" customFormat="1" ht="17.25" customHeight="1" outlineLevel="1" thickBot="1">
      <c r="C66" s="123"/>
      <c r="D66" s="123"/>
      <c r="F66" s="82"/>
      <c r="G66" s="82"/>
      <c r="H66" s="82"/>
      <c r="I66" s="82"/>
      <c r="J66" s="82"/>
      <c r="K66" s="82"/>
      <c r="L66" s="97"/>
      <c r="M66" s="97"/>
      <c r="N66" s="123"/>
      <c r="O66" s="97"/>
      <c r="P66" s="97"/>
      <c r="S66" s="97"/>
    </row>
    <row r="67" spans="2:43" ht="16.5" customHeight="1" outlineLevel="2">
      <c r="C67" s="1050" t="s">
        <v>598</v>
      </c>
      <c r="D67" s="1051"/>
      <c r="E67" s="1051"/>
      <c r="F67" s="1051"/>
      <c r="G67" s="1051"/>
      <c r="H67" s="1051"/>
      <c r="I67" s="1051"/>
      <c r="J67" s="1051"/>
      <c r="K67" s="1052"/>
      <c r="N67" s="1079" t="s">
        <v>565</v>
      </c>
      <c r="O67" s="1038"/>
      <c r="P67" s="1038" t="s">
        <v>580</v>
      </c>
      <c r="Q67" s="1038"/>
      <c r="R67" s="1038"/>
      <c r="S67" s="1038"/>
      <c r="T67" s="1038"/>
      <c r="U67" s="1038"/>
      <c r="V67" s="1038"/>
      <c r="W67" s="1040"/>
    </row>
    <row r="68" spans="2:43" ht="16.5" customHeight="1" outlineLevel="2">
      <c r="C68" s="237"/>
      <c r="D68" s="1033" t="s">
        <v>99</v>
      </c>
      <c r="E68" s="1033"/>
      <c r="F68" s="1033"/>
      <c r="G68" s="1033"/>
      <c r="H68" s="1033"/>
      <c r="I68" s="1033" t="s">
        <v>97</v>
      </c>
      <c r="J68" s="1033" t="s">
        <v>98</v>
      </c>
      <c r="K68" s="1020" t="s">
        <v>530</v>
      </c>
      <c r="N68" s="1080"/>
      <c r="O68" s="1039"/>
      <c r="P68" s="435" t="s">
        <v>72</v>
      </c>
      <c r="Q68" s="435" t="s">
        <v>93</v>
      </c>
      <c r="R68" s="435" t="s">
        <v>73</v>
      </c>
      <c r="S68" s="435" t="s">
        <v>95</v>
      </c>
      <c r="T68" s="435" t="s">
        <v>595</v>
      </c>
      <c r="U68" s="435" t="s">
        <v>98</v>
      </c>
      <c r="V68" s="435" t="s">
        <v>592</v>
      </c>
      <c r="W68" s="436" t="s">
        <v>599</v>
      </c>
    </row>
    <row r="69" spans="2:43" ht="16.5" customHeight="1" outlineLevel="2">
      <c r="C69" s="238"/>
      <c r="D69" s="437" t="s">
        <v>92</v>
      </c>
      <c r="E69" s="437" t="s">
        <v>93</v>
      </c>
      <c r="F69" s="437" t="s">
        <v>94</v>
      </c>
      <c r="G69" s="222" t="s">
        <v>95</v>
      </c>
      <c r="H69" s="437" t="s">
        <v>96</v>
      </c>
      <c r="I69" s="1034"/>
      <c r="J69" s="1034"/>
      <c r="K69" s="1021"/>
      <c r="N69" s="158" t="s">
        <v>566</v>
      </c>
      <c r="O69" s="295"/>
      <c r="P69" s="203" t="s">
        <v>567</v>
      </c>
      <c r="Q69" s="474" t="s">
        <v>586</v>
      </c>
      <c r="R69" s="203" t="s">
        <v>587</v>
      </c>
      <c r="S69" s="203" t="s">
        <v>589</v>
      </c>
      <c r="T69" s="203" t="s">
        <v>588</v>
      </c>
      <c r="U69" s="203" t="s">
        <v>591</v>
      </c>
      <c r="V69" s="78" t="s">
        <v>590</v>
      </c>
      <c r="W69" s="294" t="s">
        <v>300</v>
      </c>
      <c r="X69" s="71" t="s">
        <v>593</v>
      </c>
    </row>
    <row r="70" spans="2:43" ht="16.5" customHeight="1" outlineLevel="2">
      <c r="C70" s="220" t="s">
        <v>376</v>
      </c>
      <c r="D70" s="188">
        <f t="shared" ref="D70:G70" si="0">D71*(100-$I70-$J70)/100</f>
        <v>87.074400000000011</v>
      </c>
      <c r="E70" s="188">
        <f t="shared" si="0"/>
        <v>9.94</v>
      </c>
      <c r="F70" s="188">
        <f t="shared" si="0"/>
        <v>0.99400000000000011</v>
      </c>
      <c r="G70" s="188">
        <f t="shared" si="0"/>
        <v>0.39760000000000006</v>
      </c>
      <c r="H70" s="188">
        <f>H71*(100-$I70-$J70)/100</f>
        <v>0.99400000000000011</v>
      </c>
      <c r="I70" s="1083">
        <v>0.1</v>
      </c>
      <c r="J70" s="1083">
        <v>0.5</v>
      </c>
      <c r="K70" s="1081">
        <v>45</v>
      </c>
      <c r="L70" s="71"/>
      <c r="M70" s="71"/>
      <c r="N70" s="158" t="s">
        <v>574</v>
      </c>
      <c r="O70" s="295" t="s">
        <v>575</v>
      </c>
      <c r="P70" s="203">
        <v>87</v>
      </c>
      <c r="Q70" s="203">
        <v>13</v>
      </c>
      <c r="R70" s="203" t="s">
        <v>300</v>
      </c>
      <c r="S70" s="203" t="s">
        <v>300</v>
      </c>
      <c r="T70" s="203" t="s">
        <v>300</v>
      </c>
      <c r="U70" s="203" t="s">
        <v>300</v>
      </c>
      <c r="V70" s="203" t="s">
        <v>300</v>
      </c>
      <c r="W70" s="475">
        <v>45.7</v>
      </c>
      <c r="X70" s="71" t="s">
        <v>594</v>
      </c>
    </row>
    <row r="71" spans="2:43" ht="16.5" customHeight="1" outlineLevel="2">
      <c r="C71" s="220" t="s">
        <v>377</v>
      </c>
      <c r="D71" s="239">
        <f>100-SUM(E71:H71)</f>
        <v>87.6</v>
      </c>
      <c r="E71" s="434">
        <v>10</v>
      </c>
      <c r="F71" s="434">
        <v>1</v>
      </c>
      <c r="G71" s="434">
        <v>0.4</v>
      </c>
      <c r="H71" s="434">
        <v>1</v>
      </c>
      <c r="I71" s="1083"/>
      <c r="J71" s="1083"/>
      <c r="K71" s="1081"/>
      <c r="L71" s="71"/>
      <c r="M71" s="71"/>
      <c r="N71" s="158" t="s">
        <v>576</v>
      </c>
      <c r="O71" s="295" t="s">
        <v>575</v>
      </c>
      <c r="P71" s="203" t="s">
        <v>577</v>
      </c>
      <c r="Q71" s="203" t="s">
        <v>578</v>
      </c>
      <c r="R71" s="203" t="s">
        <v>300</v>
      </c>
      <c r="S71" s="203" t="s">
        <v>300</v>
      </c>
      <c r="T71" s="203" t="s">
        <v>579</v>
      </c>
      <c r="U71" s="203" t="s">
        <v>300</v>
      </c>
      <c r="V71" s="203" t="s">
        <v>300</v>
      </c>
      <c r="W71" s="475">
        <v>47</v>
      </c>
    </row>
    <row r="72" spans="2:43" ht="16.5" customHeight="1" outlineLevel="2">
      <c r="C72" s="223" t="s">
        <v>378</v>
      </c>
      <c r="D72" s="227">
        <f>K70*0.943</f>
        <v>42.434999999999995</v>
      </c>
      <c r="E72" s="228" t="s">
        <v>100</v>
      </c>
      <c r="F72" s="228" t="s">
        <v>381</v>
      </c>
      <c r="G72" s="229">
        <f>(I70/(100-D41)*10^6/D73)*((100-D42)/100)</f>
        <v>93.494582438369946</v>
      </c>
      <c r="H72" s="228" t="s">
        <v>407</v>
      </c>
      <c r="I72" s="224" t="s">
        <v>379</v>
      </c>
      <c r="J72" s="460">
        <f>0.22414*(J70/18+E70/2)</f>
        <v>1.120201911111111</v>
      </c>
      <c r="K72" s="489"/>
      <c r="L72" s="71"/>
      <c r="M72" s="71"/>
      <c r="N72" s="113" t="s">
        <v>585</v>
      </c>
      <c r="O72" s="95"/>
      <c r="P72" s="78">
        <v>77</v>
      </c>
      <c r="Q72" s="78">
        <v>12</v>
      </c>
      <c r="R72" s="78">
        <v>11</v>
      </c>
      <c r="S72" s="203" t="s">
        <v>300</v>
      </c>
      <c r="T72" s="78">
        <v>0.01</v>
      </c>
      <c r="U72" s="203" t="s">
        <v>300</v>
      </c>
      <c r="V72" s="203" t="s">
        <v>300</v>
      </c>
      <c r="W72" s="479">
        <v>40</v>
      </c>
    </row>
    <row r="73" spans="2:43" ht="16.5" customHeight="1" outlineLevel="2" thickBot="1">
      <c r="B73" s="88"/>
      <c r="C73" s="225" t="s">
        <v>401</v>
      </c>
      <c r="D73" s="232">
        <f>(8.899*(D70-D74)+20.96*E70+3.32*H70+0.8*G70-2.64*F70)/100+(D40-1)*100/10^4*(8.899*(D70-D74)+26.514*E70+3.32*H70-3.34*F70)-E70/2*0.22414</f>
        <v>10.8049477872</v>
      </c>
      <c r="E73" s="233" t="s">
        <v>544</v>
      </c>
      <c r="F73" s="233" t="s">
        <v>380</v>
      </c>
      <c r="G73" s="234">
        <f>(H70/100*10^6/D9*F9/D73)*((100-D43)/100)</f>
        <v>1838.1761551352727</v>
      </c>
      <c r="H73" s="233" t="s">
        <v>407</v>
      </c>
      <c r="I73" s="226" t="s">
        <v>604</v>
      </c>
      <c r="J73" s="461">
        <f>D73+J72</f>
        <v>11.925149698311111</v>
      </c>
      <c r="K73" s="490"/>
      <c r="L73" s="71"/>
      <c r="M73" s="71"/>
      <c r="N73" s="480" t="s">
        <v>581</v>
      </c>
      <c r="O73" s="235"/>
      <c r="P73" s="449" t="s">
        <v>583</v>
      </c>
      <c r="Q73" s="481" t="s">
        <v>584</v>
      </c>
      <c r="R73" s="451" t="s">
        <v>300</v>
      </c>
      <c r="S73" s="451" t="s">
        <v>300</v>
      </c>
      <c r="T73" s="481" t="s">
        <v>582</v>
      </c>
      <c r="U73" s="449">
        <v>0.5</v>
      </c>
      <c r="V73" s="476">
        <v>0.1</v>
      </c>
      <c r="W73" s="482">
        <v>43</v>
      </c>
    </row>
    <row r="74" spans="2:43" ht="16.5" customHeight="1" outlineLevel="2" thickBot="1">
      <c r="C74" s="240"/>
      <c r="D74" s="241"/>
      <c r="E74" s="240"/>
      <c r="F74" s="240"/>
      <c r="G74" s="240"/>
      <c r="H74" s="242"/>
      <c r="I74" s="132"/>
      <c r="J74" s="240"/>
      <c r="N74" s="477"/>
      <c r="O74" s="242"/>
      <c r="P74" s="338"/>
      <c r="Q74" s="338"/>
      <c r="R74" s="338"/>
      <c r="S74" s="338"/>
      <c r="T74" s="338"/>
      <c r="U74" s="338"/>
      <c r="V74" s="78"/>
      <c r="W74" s="478"/>
    </row>
    <row r="75" spans="2:43" ht="17.25" customHeight="1" outlineLevel="2">
      <c r="C75" s="1075"/>
      <c r="D75" s="1075"/>
      <c r="E75" s="1075"/>
      <c r="F75" s="1075"/>
      <c r="G75" s="1075"/>
      <c r="H75" s="1075"/>
      <c r="I75" s="1075"/>
      <c r="J75" s="1075"/>
      <c r="N75" s="487" t="s">
        <v>596</v>
      </c>
      <c r="O75" s="438"/>
      <c r="P75" s="338"/>
      <c r="Q75" s="338"/>
      <c r="R75" s="338"/>
      <c r="S75" s="338"/>
      <c r="T75" s="338"/>
      <c r="U75" s="338"/>
      <c r="V75" s="78"/>
      <c r="W75" s="478"/>
    </row>
    <row r="76" spans="2:43" ht="17.25" customHeight="1" outlineLevel="2">
      <c r="C76" s="242"/>
      <c r="D76" s="1073"/>
      <c r="E76" s="1073"/>
      <c r="F76" s="1073"/>
      <c r="G76" s="1073"/>
      <c r="H76" s="1073"/>
      <c r="I76" s="1073"/>
      <c r="J76" s="1073"/>
      <c r="N76" s="483" t="s">
        <v>568</v>
      </c>
      <c r="O76" s="484" t="s">
        <v>569</v>
      </c>
      <c r="P76" s="452"/>
      <c r="Q76" s="452"/>
      <c r="R76" s="452"/>
      <c r="S76" s="452"/>
      <c r="T76" s="452"/>
      <c r="U76" s="452"/>
      <c r="V76" s="452"/>
      <c r="W76" s="452"/>
    </row>
    <row r="77" spans="2:43" ht="17.25" customHeight="1" outlineLevel="2">
      <c r="C77" s="203"/>
      <c r="D77" s="203"/>
      <c r="E77" s="203"/>
      <c r="F77" s="203"/>
      <c r="G77" s="443"/>
      <c r="H77" s="203"/>
      <c r="I77" s="1073"/>
      <c r="J77" s="1073"/>
      <c r="N77" s="483" t="s">
        <v>573</v>
      </c>
      <c r="O77" s="484" t="s">
        <v>570</v>
      </c>
      <c r="P77" s="452"/>
      <c r="Q77" s="452"/>
      <c r="R77" s="452"/>
      <c r="S77" s="452"/>
      <c r="T77" s="452"/>
      <c r="U77" s="452"/>
      <c r="V77" s="452"/>
      <c r="W77" s="452"/>
      <c r="X77" s="78"/>
    </row>
    <row r="78" spans="2:43" ht="17.25" customHeight="1" outlineLevel="2" thickBot="1">
      <c r="C78" s="443"/>
      <c r="D78" s="338"/>
      <c r="E78" s="338"/>
      <c r="F78" s="338"/>
      <c r="G78" s="338"/>
      <c r="H78" s="338"/>
      <c r="I78" s="1073"/>
      <c r="J78" s="1073"/>
      <c r="N78" s="485" t="s">
        <v>572</v>
      </c>
      <c r="O78" s="486" t="s">
        <v>571</v>
      </c>
      <c r="P78" s="452"/>
      <c r="Q78" s="452"/>
      <c r="R78" s="452"/>
      <c r="S78" s="452"/>
      <c r="T78" s="452"/>
      <c r="U78" s="452"/>
      <c r="V78" s="452"/>
      <c r="W78" s="452"/>
      <c r="X78" s="78"/>
    </row>
    <row r="79" spans="2:43" ht="17.25" customHeight="1" outlineLevel="2">
      <c r="C79" s="443"/>
      <c r="D79" s="444"/>
      <c r="E79" s="445"/>
      <c r="F79" s="445"/>
      <c r="G79" s="445"/>
      <c r="H79" s="445"/>
      <c r="I79" s="1073"/>
      <c r="J79" s="1073"/>
      <c r="N79" s="450"/>
      <c r="O79" s="450"/>
      <c r="P79" s="1082"/>
      <c r="Q79" s="1082"/>
      <c r="R79" s="1082"/>
      <c r="S79" s="1082"/>
      <c r="T79" s="1082"/>
      <c r="U79" s="450"/>
      <c r="V79" s="450"/>
      <c r="W79" s="1063"/>
      <c r="X79" s="1063"/>
    </row>
    <row r="80" spans="2:43" ht="17.25" customHeight="1" outlineLevel="1">
      <c r="C80" s="221"/>
      <c r="D80" s="208"/>
      <c r="L80" s="94"/>
      <c r="M80" s="94"/>
      <c r="N80" s="242"/>
      <c r="O80" s="242"/>
      <c r="P80" s="338"/>
      <c r="Q80" s="203"/>
      <c r="R80" s="203"/>
      <c r="S80" s="203"/>
      <c r="T80" s="203"/>
      <c r="U80" s="203"/>
      <c r="V80" s="1074"/>
      <c r="W80" s="78"/>
      <c r="X80" s="78"/>
      <c r="Y80" s="133"/>
      <c r="Z80" s="93"/>
      <c r="AI80" s="79"/>
      <c r="AJ80" s="79"/>
      <c r="AK80" s="90"/>
      <c r="AL80" s="90"/>
      <c r="AM80" s="90"/>
      <c r="AN80" s="90"/>
      <c r="AO80" s="90"/>
      <c r="AP80" s="90"/>
      <c r="AQ80" s="90"/>
    </row>
    <row r="81" spans="1:43" ht="17.25" customHeight="1" outlineLevel="1">
      <c r="C81" s="1076" t="s">
        <v>1023</v>
      </c>
      <c r="D81" s="1077"/>
      <c r="E81" s="1078"/>
      <c r="L81" s="94"/>
      <c r="M81" s="94"/>
      <c r="N81" s="242"/>
      <c r="O81" s="242"/>
      <c r="P81" s="338"/>
      <c r="Q81" s="203"/>
      <c r="R81" s="203"/>
      <c r="S81" s="203"/>
      <c r="T81" s="203"/>
      <c r="U81" s="203"/>
      <c r="V81" s="1074"/>
      <c r="W81" s="78"/>
      <c r="X81" s="78"/>
      <c r="Y81" s="133"/>
      <c r="Z81" s="93"/>
      <c r="AI81" s="79"/>
      <c r="AJ81" s="79"/>
      <c r="AK81" s="90"/>
      <c r="AL81" s="90"/>
      <c r="AM81" s="90"/>
      <c r="AN81" s="90"/>
      <c r="AO81" s="90"/>
      <c r="AP81" s="90"/>
      <c r="AQ81" s="90"/>
    </row>
    <row r="82" spans="1:43" ht="17.25" customHeight="1" outlineLevel="1">
      <c r="C82" s="652" t="s">
        <v>378</v>
      </c>
      <c r="D82" s="244">
        <f>IF(AND(D$46="D"),D72,D52)</f>
        <v>42.44</v>
      </c>
      <c r="E82" s="653" t="s">
        <v>89</v>
      </c>
      <c r="H82" s="79"/>
      <c r="I82" s="132"/>
      <c r="K82" s="79"/>
      <c r="L82" s="94"/>
      <c r="M82" s="94"/>
      <c r="N82" s="242"/>
      <c r="O82" s="242"/>
      <c r="P82" s="338"/>
      <c r="Q82" s="203"/>
      <c r="R82" s="203"/>
      <c r="S82" s="203"/>
      <c r="T82" s="203"/>
      <c r="U82" s="203"/>
      <c r="V82" s="1074"/>
      <c r="W82" s="78"/>
      <c r="X82" s="78"/>
      <c r="Y82" s="133"/>
      <c r="Z82" s="93"/>
      <c r="AI82" s="79"/>
      <c r="AJ82" s="79"/>
      <c r="AK82" s="90"/>
      <c r="AL82" s="90"/>
      <c r="AM82" s="90"/>
      <c r="AN82" s="90"/>
      <c r="AO82" s="90"/>
      <c r="AP82" s="90"/>
      <c r="AQ82" s="90"/>
    </row>
    <row r="83" spans="1:43" ht="17.25" customHeight="1" outlineLevel="1">
      <c r="C83" s="652" t="s">
        <v>368</v>
      </c>
      <c r="D83" s="244">
        <f>IF(AND(D$46="D"),H71,D53)</f>
        <v>1</v>
      </c>
      <c r="E83" s="653" t="s">
        <v>109</v>
      </c>
      <c r="H83" s="79"/>
      <c r="I83" s="132"/>
      <c r="K83" s="79"/>
      <c r="L83" s="94"/>
      <c r="M83" s="94"/>
      <c r="N83" s="242"/>
      <c r="O83" s="242"/>
      <c r="P83" s="338"/>
      <c r="Q83" s="203"/>
      <c r="R83" s="203"/>
      <c r="S83" s="203"/>
      <c r="T83" s="203"/>
      <c r="U83" s="203"/>
      <c r="V83" s="1074"/>
      <c r="W83" s="78"/>
      <c r="X83" s="78"/>
      <c r="Y83" s="133"/>
      <c r="Z83" s="93"/>
      <c r="AI83" s="79"/>
      <c r="AJ83" s="79"/>
      <c r="AK83" s="90"/>
      <c r="AL83" s="90"/>
      <c r="AM83" s="90"/>
      <c r="AN83" s="90"/>
      <c r="AO83" s="90"/>
      <c r="AP83" s="90"/>
      <c r="AQ83" s="90"/>
    </row>
    <row r="84" spans="1:43" ht="17.25" customHeight="1" outlineLevel="1">
      <c r="C84" s="652" t="s">
        <v>369</v>
      </c>
      <c r="D84" s="244">
        <f>IF(AND(D$46="D"),I70,D54)</f>
        <v>0.1</v>
      </c>
      <c r="E84" s="653" t="s">
        <v>91</v>
      </c>
      <c r="I84" s="79"/>
      <c r="J84" s="132"/>
      <c r="L84" s="94"/>
      <c r="M84" s="94"/>
      <c r="N84" s="242"/>
      <c r="O84" s="242"/>
      <c r="P84" s="338"/>
      <c r="Q84" s="203"/>
      <c r="R84" s="203"/>
      <c r="S84" s="203"/>
      <c r="T84" s="203"/>
      <c r="U84" s="203"/>
      <c r="V84" s="1074"/>
      <c r="W84" s="78"/>
      <c r="X84" s="78"/>
      <c r="Y84" s="133"/>
      <c r="Z84" s="93"/>
      <c r="AI84" s="79"/>
      <c r="AJ84" s="79"/>
      <c r="AK84" s="90"/>
      <c r="AL84" s="90"/>
      <c r="AM84" s="90"/>
      <c r="AN84" s="90"/>
      <c r="AO84" s="90"/>
      <c r="AP84" s="90"/>
      <c r="AQ84" s="90"/>
    </row>
    <row r="85" spans="1:43" ht="17.25" customHeight="1" outlineLevel="1">
      <c r="C85" s="654" t="s">
        <v>401</v>
      </c>
      <c r="D85" s="244">
        <f>IF($D46="D",D73,D56+D57)</f>
        <v>13.028271333333333</v>
      </c>
      <c r="E85" s="653" t="s">
        <v>1017</v>
      </c>
      <c r="F85" s="1075"/>
      <c r="G85" s="1075"/>
      <c r="H85" s="240"/>
      <c r="L85" s="94"/>
      <c r="M85" s="94"/>
      <c r="N85" s="94"/>
      <c r="O85" s="94"/>
      <c r="P85" s="94"/>
      <c r="Q85" s="79"/>
      <c r="R85" s="79"/>
      <c r="S85" s="79"/>
      <c r="T85" s="79"/>
      <c r="U85" s="79"/>
      <c r="V85" s="79"/>
      <c r="W85" s="79"/>
      <c r="X85" s="78"/>
      <c r="Y85" s="133"/>
      <c r="Z85" s="93"/>
    </row>
    <row r="86" spans="1:43" ht="17.25" customHeight="1" outlineLevel="1">
      <c r="C86" s="654" t="s">
        <v>403</v>
      </c>
      <c r="D86" s="251">
        <f>D85/D82*D20*3600*8760*D33/100</f>
        <v>12101188877.474083</v>
      </c>
      <c r="E86" s="653" t="s">
        <v>339</v>
      </c>
      <c r="F86" s="243"/>
      <c r="G86" s="242"/>
      <c r="H86" s="240"/>
      <c r="L86" s="94"/>
      <c r="M86" s="94"/>
      <c r="N86" s="94"/>
      <c r="O86" s="94"/>
      <c r="P86" s="94"/>
      <c r="Q86" s="79"/>
      <c r="R86" s="79"/>
      <c r="S86" s="79"/>
      <c r="T86" s="79"/>
      <c r="U86" s="79"/>
      <c r="V86" s="79"/>
      <c r="W86" s="79"/>
      <c r="X86" s="78"/>
      <c r="Y86" s="133"/>
      <c r="Z86" s="93"/>
    </row>
    <row r="87" spans="1:43" ht="17.25" customHeight="1" outlineLevel="1">
      <c r="A87" s="93"/>
      <c r="C87" s="654" t="s">
        <v>400</v>
      </c>
      <c r="D87" s="244">
        <f>IF(D$46="D",J73,D59)</f>
        <v>14.155197444444443</v>
      </c>
      <c r="E87" s="653" t="s">
        <v>1016</v>
      </c>
      <c r="F87" s="243"/>
      <c r="G87" s="242"/>
      <c r="H87" s="240"/>
      <c r="S87" s="88"/>
      <c r="T87" s="79"/>
      <c r="U87" s="79"/>
      <c r="V87" s="79"/>
      <c r="W87" s="79"/>
      <c r="X87" s="78"/>
      <c r="Y87" s="133"/>
      <c r="Z87" s="93"/>
    </row>
    <row r="88" spans="1:43" ht="17.25" customHeight="1" outlineLevel="1">
      <c r="C88" s="654" t="s">
        <v>402</v>
      </c>
      <c r="D88" s="251">
        <f>D87/D82*D20*3600*8760*D33/100</f>
        <v>13147923733.741753</v>
      </c>
      <c r="E88" s="653" t="s">
        <v>338</v>
      </c>
      <c r="F88" s="243"/>
      <c r="G88" s="242"/>
      <c r="H88" s="240"/>
      <c r="L88" s="71"/>
      <c r="M88" s="71"/>
      <c r="N88" s="71"/>
      <c r="O88" s="71"/>
      <c r="P88" s="71"/>
      <c r="S88" s="88"/>
      <c r="T88" s="79"/>
      <c r="U88" s="79"/>
      <c r="V88" s="79"/>
      <c r="W88" s="79"/>
      <c r="X88" s="78"/>
      <c r="Y88" s="133"/>
      <c r="Z88" s="93"/>
    </row>
    <row r="89" spans="1:43" ht="17.25" customHeight="1" outlineLevel="1">
      <c r="C89" s="652" t="s">
        <v>374</v>
      </c>
      <c r="D89" s="254">
        <f>IF(D46="D",(8.899*D70+26.514*E70+3.32*H70-3.34*F70)/100*(D40-1)*0.21/D73*100,D60)</f>
        <v>3.8044723457043941</v>
      </c>
      <c r="E89" s="653" t="s">
        <v>405</v>
      </c>
      <c r="F89" s="246"/>
      <c r="G89" s="242"/>
      <c r="H89" s="240"/>
      <c r="L89" s="71"/>
      <c r="M89" s="71"/>
      <c r="N89" s="71"/>
      <c r="O89" s="71"/>
      <c r="P89" s="71"/>
      <c r="S89" s="88"/>
      <c r="T89" s="79"/>
      <c r="U89" s="79"/>
      <c r="V89" s="79"/>
      <c r="W89" s="79"/>
      <c r="X89" s="90"/>
      <c r="Y89" s="133"/>
      <c r="Z89" s="93"/>
    </row>
    <row r="90" spans="1:43" ht="17.25" customHeight="1" outlineLevel="1">
      <c r="C90" s="652" t="s">
        <v>375</v>
      </c>
      <c r="D90" s="254">
        <f>(21-G3)/(21-D89)</f>
        <v>1.0467838127376934</v>
      </c>
      <c r="E90" s="653" t="s">
        <v>1049</v>
      </c>
      <c r="F90" s="250"/>
      <c r="G90" s="242"/>
      <c r="H90" s="240"/>
      <c r="L90" s="71"/>
      <c r="M90" s="71"/>
      <c r="N90" s="71"/>
      <c r="O90" s="71"/>
      <c r="P90" s="71"/>
      <c r="S90" s="88"/>
      <c r="T90" s="79"/>
      <c r="U90" s="79"/>
      <c r="V90" s="79"/>
      <c r="W90" s="79"/>
      <c r="X90" s="90"/>
      <c r="Y90" s="133"/>
      <c r="Z90" s="93"/>
    </row>
    <row r="91" spans="1:43" ht="17.25" customHeight="1" outlineLevel="1">
      <c r="C91" s="655" t="s">
        <v>1054</v>
      </c>
      <c r="D91" s="256">
        <f>IF(D$46="D",G73,D62)*D90</f>
        <v>1595.8056708912638</v>
      </c>
      <c r="E91" s="653" t="s">
        <v>1048</v>
      </c>
      <c r="F91" s="246"/>
      <c r="G91" s="242"/>
      <c r="H91" s="240"/>
      <c r="L91" s="71"/>
      <c r="M91" s="71"/>
      <c r="N91" s="71"/>
      <c r="O91" s="71"/>
      <c r="P91" s="71"/>
      <c r="S91" s="88"/>
      <c r="T91" s="79"/>
      <c r="U91" s="79"/>
      <c r="V91" s="79"/>
      <c r="W91" s="79"/>
      <c r="X91" s="90"/>
      <c r="Y91" s="133"/>
      <c r="Z91" s="93"/>
    </row>
    <row r="92" spans="1:43" ht="17.25" customHeight="1" outlineLevel="1">
      <c r="C92" s="655" t="s">
        <v>1055</v>
      </c>
      <c r="D92" s="256">
        <f>D24</f>
        <v>500</v>
      </c>
      <c r="E92" s="653" t="s">
        <v>1050</v>
      </c>
      <c r="F92" s="250"/>
      <c r="G92" s="242"/>
      <c r="H92" s="240"/>
      <c r="L92" s="71"/>
      <c r="M92" s="71"/>
      <c r="N92" s="71"/>
      <c r="O92" s="71"/>
      <c r="P92" s="71"/>
      <c r="S92" s="88"/>
      <c r="T92" s="79"/>
      <c r="U92" s="79"/>
      <c r="V92" s="79"/>
      <c r="W92" s="79"/>
      <c r="X92" s="90"/>
      <c r="Y92" s="133"/>
      <c r="Z92" s="93"/>
    </row>
    <row r="93" spans="1:43" ht="17.25" customHeight="1" outlineLevel="1">
      <c r="C93" s="655" t="s">
        <v>1056</v>
      </c>
      <c r="D93" s="256">
        <f>IF(D$46="D",G72,D63)*D90</f>
        <v>81.166967831644953</v>
      </c>
      <c r="E93" s="653" t="s">
        <v>1051</v>
      </c>
      <c r="F93" s="267"/>
      <c r="G93" s="242"/>
      <c r="H93" s="240"/>
      <c r="L93" s="71"/>
      <c r="M93" s="71"/>
      <c r="N93" s="71"/>
      <c r="O93" s="71"/>
      <c r="P93" s="71"/>
      <c r="S93" s="88"/>
      <c r="T93" s="79"/>
      <c r="U93" s="79"/>
      <c r="V93" s="79"/>
      <c r="W93" s="79"/>
      <c r="X93" s="90"/>
      <c r="Y93" s="133"/>
      <c r="Z93" s="93"/>
    </row>
    <row r="94" spans="1:43" ht="17.25" customHeight="1" outlineLevel="1">
      <c r="C94" s="655" t="s">
        <v>98</v>
      </c>
      <c r="D94" s="244">
        <f>IF(AND(D$46="D"),J70,D55)</f>
        <v>0.5</v>
      </c>
      <c r="E94" s="653" t="s">
        <v>87</v>
      </c>
      <c r="F94" s="267"/>
      <c r="G94" s="242"/>
      <c r="H94" s="240"/>
      <c r="L94" s="71"/>
      <c r="M94" s="71"/>
      <c r="N94" s="71"/>
      <c r="O94" s="71"/>
      <c r="P94" s="71"/>
      <c r="S94" s="88"/>
      <c r="T94" s="79"/>
      <c r="U94" s="79"/>
      <c r="V94" s="79"/>
      <c r="W94" s="79"/>
      <c r="X94" s="90"/>
      <c r="Y94" s="133"/>
      <c r="Z94" s="93"/>
    </row>
    <row r="95" spans="1:43" s="93" customFormat="1" ht="18" customHeight="1">
      <c r="C95" s="654" t="s">
        <v>798</v>
      </c>
      <c r="D95" s="657">
        <f>+D83*(100-D84-D94)/100</f>
        <v>0.99400000000000011</v>
      </c>
      <c r="E95" s="653" t="s">
        <v>102</v>
      </c>
    </row>
    <row r="96" spans="1:43" s="93" customFormat="1" ht="15.75" customHeight="1">
      <c r="C96" s="656" t="s">
        <v>802</v>
      </c>
      <c r="D96" s="682">
        <f>1000*(100-D43)/100*D95/100*F9/D9/D82</f>
        <v>0.4679876856718348</v>
      </c>
      <c r="E96" s="681" t="s">
        <v>799</v>
      </c>
      <c r="T96" s="97"/>
    </row>
    <row r="97" spans="20:20" s="93" customFormat="1" ht="15.75" customHeight="1">
      <c r="T97" s="97"/>
    </row>
    <row r="98" spans="20:20" s="651" customFormat="1" ht="15.75" customHeight="1">
      <c r="T98" s="650"/>
    </row>
    <row r="99" spans="20:20" s="93" customFormat="1" ht="15.75" customHeight="1">
      <c r="T99" s="97"/>
    </row>
    <row r="100" spans="20:20" s="93" customFormat="1">
      <c r="T100" s="97"/>
    </row>
    <row r="109" spans="20:20">
      <c r="T109" s="72"/>
    </row>
    <row r="110" spans="20:20">
      <c r="T110" s="72"/>
    </row>
    <row r="111" spans="20:20">
      <c r="T111" s="72"/>
    </row>
    <row r="112" spans="20:20">
      <c r="T112" s="72"/>
    </row>
    <row r="120" spans="20:24">
      <c r="T120" s="72"/>
    </row>
    <row r="121" spans="20:24">
      <c r="T121" s="72"/>
    </row>
    <row r="122" spans="20:24">
      <c r="T122" s="72"/>
    </row>
    <row r="123" spans="20:24">
      <c r="U123" s="79"/>
      <c r="V123" s="79"/>
      <c r="W123" s="79"/>
      <c r="X123" s="79"/>
    </row>
    <row r="124" spans="20:24" ht="15.75" customHeight="1"/>
    <row r="140" spans="21:23" ht="14.25" customHeight="1"/>
    <row r="141" spans="21:23" ht="14.25" customHeight="1"/>
    <row r="142" spans="21:23" ht="15" customHeight="1"/>
    <row r="144" spans="21:23" ht="15">
      <c r="U144" s="136"/>
      <c r="V144" s="136"/>
      <c r="W144" s="88"/>
    </row>
    <row r="145" spans="21:23">
      <c r="U145" s="137"/>
      <c r="V145" s="137"/>
      <c r="W145" s="88"/>
    </row>
    <row r="146" spans="21:23">
      <c r="U146" s="78"/>
      <c r="V146" s="78"/>
      <c r="W146" s="88"/>
    </row>
    <row r="147" spans="21:23">
      <c r="U147" s="78"/>
      <c r="V147" s="78"/>
      <c r="W147" s="88"/>
    </row>
    <row r="148" spans="21:23">
      <c r="U148" s="78"/>
      <c r="V148" s="88"/>
    </row>
    <row r="149" spans="21:23">
      <c r="U149" s="78"/>
      <c r="V149" s="88"/>
    </row>
    <row r="150" spans="21:23">
      <c r="U150" s="78"/>
      <c r="V150" s="88"/>
    </row>
    <row r="151" spans="21:23" ht="15" customHeight="1">
      <c r="U151" s="78"/>
      <c r="V151" s="88"/>
    </row>
    <row r="152" spans="21:23">
      <c r="U152" s="88"/>
      <c r="V152" s="88"/>
    </row>
    <row r="173" ht="14.25" customHeight="1"/>
  </sheetData>
  <mergeCells count="40">
    <mergeCell ref="V80:V84"/>
    <mergeCell ref="F85:G85"/>
    <mergeCell ref="C81:E81"/>
    <mergeCell ref="N67:O68"/>
    <mergeCell ref="P67:W67"/>
    <mergeCell ref="K70:K71"/>
    <mergeCell ref="K68:K69"/>
    <mergeCell ref="I78:I79"/>
    <mergeCell ref="J78:J79"/>
    <mergeCell ref="P79:T79"/>
    <mergeCell ref="W79:X79"/>
    <mergeCell ref="I70:I71"/>
    <mergeCell ref="J70:J71"/>
    <mergeCell ref="C75:J75"/>
    <mergeCell ref="D76:H76"/>
    <mergeCell ref="I76:I77"/>
    <mergeCell ref="J76:J77"/>
    <mergeCell ref="D68:H68"/>
    <mergeCell ref="I68:I69"/>
    <mergeCell ref="J68:J69"/>
    <mergeCell ref="C67:K67"/>
    <mergeCell ref="C39:E39"/>
    <mergeCell ref="N39:O39"/>
    <mergeCell ref="C45:E45"/>
    <mergeCell ref="C51:E51"/>
    <mergeCell ref="G51:H51"/>
    <mergeCell ref="C30:E30"/>
    <mergeCell ref="G30:I30"/>
    <mergeCell ref="N30:O30"/>
    <mergeCell ref="C31:C32"/>
    <mergeCell ref="C34:E34"/>
    <mergeCell ref="C25:E25"/>
    <mergeCell ref="F1:K1"/>
    <mergeCell ref="N2:P2"/>
    <mergeCell ref="C7:F7"/>
    <mergeCell ref="C8:D8"/>
    <mergeCell ref="E8:F8"/>
    <mergeCell ref="H8:J8"/>
    <mergeCell ref="C23:E23"/>
    <mergeCell ref="N21:O21"/>
  </mergeCells>
  <printOptions horizontalCentered="1" verticalCentered="1"/>
  <pageMargins left="0" right="0" top="0" bottom="0" header="0" footer="0"/>
  <pageSetup paperSize="9" scale="43" fitToWidth="2" fitToHeight="2" orientation="landscape" r:id="rId1"/>
  <rowBreaks count="3" manualBreakCount="3">
    <brk id="37" max="21" man="1"/>
    <brk id="94" max="21" man="1"/>
    <brk id="159" max="21" man="1"/>
  </rowBreaks>
  <colBreaks count="2" manualBreakCount="2">
    <brk id="12" max="110" man="1"/>
    <brk id="22" max="202" man="1"/>
  </colBreaks>
</worksheet>
</file>

<file path=xl/worksheets/sheet4.xml><?xml version="1.0" encoding="utf-8"?>
<worksheet xmlns="http://schemas.openxmlformats.org/spreadsheetml/2006/main" xmlns:r="http://schemas.openxmlformats.org/officeDocument/2006/relationships">
  <dimension ref="B1:AR167"/>
  <sheetViews>
    <sheetView workbookViewId="0"/>
  </sheetViews>
  <sheetFormatPr baseColWidth="10" defaultRowHeight="14.25" outlineLevelRow="2" outlineLevelCol="1"/>
  <cols>
    <col min="1" max="1" width="11.42578125" style="71"/>
    <col min="2" max="2" width="18.28515625" style="71" customWidth="1"/>
    <col min="3" max="3" width="47.85546875" style="71" bestFit="1" customWidth="1"/>
    <col min="4" max="4" width="22.7109375" style="71" customWidth="1"/>
    <col min="5" max="5" width="33.42578125" style="71" bestFit="1" customWidth="1"/>
    <col min="6" max="6" width="51.140625" style="71" customWidth="1"/>
    <col min="7" max="7" width="47.85546875" style="71" bestFit="1" customWidth="1"/>
    <col min="8" max="8" width="34" style="71" customWidth="1"/>
    <col min="9" max="9" width="50.85546875" style="71" bestFit="1" customWidth="1"/>
    <col min="10" max="10" width="22" style="71" customWidth="1"/>
    <col min="11" max="11" width="27.85546875" style="71" bestFit="1" customWidth="1"/>
    <col min="12" max="13" width="24" style="72" customWidth="1"/>
    <col min="14" max="16" width="19.7109375" style="72" customWidth="1"/>
    <col min="17" max="17" width="24.140625" style="71" customWidth="1" outlineLevel="1"/>
    <col min="18" max="18" width="24" style="71" customWidth="1" outlineLevel="1"/>
    <col min="19" max="19" width="20" style="72" customWidth="1" outlineLevel="1"/>
    <col min="20" max="20" width="20.5703125" style="71" customWidth="1" outlineLevel="1"/>
    <col min="21" max="22" width="17.42578125" style="71" customWidth="1" outlineLevel="1"/>
    <col min="23" max="23" width="18.5703125" style="71" customWidth="1" outlineLevel="1"/>
    <col min="24" max="24" width="55.7109375" style="71" customWidth="1" outlineLevel="1"/>
    <col min="25" max="25" width="11.42578125" style="71" customWidth="1" outlineLevel="1"/>
    <col min="26" max="26" width="21" style="71" customWidth="1" outlineLevel="1"/>
    <col min="27" max="27" width="11.28515625" style="71" customWidth="1"/>
    <col min="28" max="16384" width="11.42578125" style="71"/>
  </cols>
  <sheetData>
    <row r="1" spans="2:19" ht="16.5" customHeight="1" thickBot="1">
      <c r="C1" s="240"/>
      <c r="D1" s="240"/>
      <c r="E1" s="240"/>
      <c r="F1" s="1042" t="s">
        <v>240</v>
      </c>
      <c r="G1" s="1043"/>
      <c r="H1" s="1043"/>
      <c r="I1" s="1043"/>
      <c r="J1" s="1043"/>
      <c r="K1" s="1044"/>
      <c r="L1" s="272"/>
    </row>
    <row r="2" spans="2:19" ht="16.5" customHeight="1">
      <c r="C2" s="176" t="s">
        <v>179</v>
      </c>
      <c r="D2" s="273"/>
      <c r="E2" s="240"/>
      <c r="F2" s="274" t="s">
        <v>265</v>
      </c>
      <c r="G2" s="437" t="s">
        <v>266</v>
      </c>
      <c r="H2" s="275" t="s">
        <v>145</v>
      </c>
      <c r="I2" s="274" t="s">
        <v>265</v>
      </c>
      <c r="J2" s="437" t="s">
        <v>266</v>
      </c>
      <c r="K2" s="276" t="s">
        <v>145</v>
      </c>
      <c r="L2" s="272"/>
      <c r="N2" s="1054"/>
      <c r="O2" s="1054"/>
      <c r="P2" s="1054"/>
    </row>
    <row r="3" spans="2:19" ht="16.5" customHeight="1">
      <c r="C3" s="177" t="s">
        <v>181</v>
      </c>
      <c r="D3" s="203"/>
      <c r="E3" s="240"/>
      <c r="F3" s="277" t="s">
        <v>363</v>
      </c>
      <c r="G3" s="278">
        <v>3</v>
      </c>
      <c r="H3" s="230" t="s">
        <v>241</v>
      </c>
      <c r="I3" s="277" t="s">
        <v>242</v>
      </c>
      <c r="J3" s="278">
        <v>15</v>
      </c>
      <c r="K3" s="279" t="s">
        <v>32</v>
      </c>
      <c r="L3" s="272"/>
      <c r="N3" s="91"/>
      <c r="O3" s="91"/>
      <c r="P3" s="79"/>
    </row>
    <row r="4" spans="2:19" ht="16.5" customHeight="1" thickBot="1">
      <c r="C4" s="178" t="s">
        <v>180</v>
      </c>
      <c r="D4" s="203"/>
      <c r="E4" s="240"/>
      <c r="F4" s="280" t="s">
        <v>30</v>
      </c>
      <c r="G4" s="281">
        <v>0.02</v>
      </c>
      <c r="H4" s="282" t="s">
        <v>31</v>
      </c>
      <c r="I4" s="283" t="s">
        <v>521</v>
      </c>
      <c r="J4" s="284">
        <v>0.04</v>
      </c>
      <c r="K4" s="285" t="s">
        <v>243</v>
      </c>
      <c r="L4" s="272"/>
      <c r="N4" s="91"/>
      <c r="O4" s="91"/>
      <c r="P4" s="79"/>
    </row>
    <row r="5" spans="2:19" ht="16.5" customHeight="1">
      <c r="C5" s="286"/>
      <c r="D5" s="286"/>
      <c r="E5" s="240"/>
      <c r="F5" s="240"/>
      <c r="G5" s="240"/>
      <c r="H5" s="240"/>
      <c r="I5" s="280" t="s">
        <v>35</v>
      </c>
      <c r="J5" s="287">
        <f>((1+J4)^J3*J4)/((1+J4)^J3-1)</f>
        <v>8.9941100370973137E-2</v>
      </c>
      <c r="K5" s="288" t="s">
        <v>243</v>
      </c>
      <c r="L5" s="272"/>
      <c r="N5" s="91"/>
      <c r="O5" s="78"/>
      <c r="P5" s="79"/>
    </row>
    <row r="6" spans="2:19" s="75" customFormat="1" ht="30" customHeight="1" thickBot="1">
      <c r="B6" s="73"/>
      <c r="C6" s="74" t="s">
        <v>244</v>
      </c>
      <c r="D6" s="289"/>
      <c r="E6" s="290"/>
      <c r="F6" s="290"/>
      <c r="G6" s="290"/>
      <c r="H6" s="290"/>
      <c r="I6" s="290"/>
      <c r="J6" s="290"/>
      <c r="K6" s="290"/>
      <c r="L6" s="291"/>
      <c r="M6" s="76"/>
      <c r="N6" s="74" t="s">
        <v>323</v>
      </c>
      <c r="P6" s="162"/>
      <c r="S6" s="76"/>
    </row>
    <row r="7" spans="2:19" ht="16.5" customHeight="1" outlineLevel="1" thickBot="1">
      <c r="C7" s="1022" t="s">
        <v>364</v>
      </c>
      <c r="D7" s="1045"/>
      <c r="E7" s="1045"/>
      <c r="F7" s="1045"/>
      <c r="G7" s="1045"/>
      <c r="H7" s="1023"/>
      <c r="I7" s="240"/>
      <c r="J7" s="240"/>
      <c r="K7" s="240"/>
      <c r="L7" s="272"/>
    </row>
    <row r="8" spans="2:19" ht="16.5" customHeight="1" outlineLevel="1">
      <c r="C8" s="1046" t="s">
        <v>163</v>
      </c>
      <c r="D8" s="1047"/>
      <c r="E8" s="1084" t="s">
        <v>162</v>
      </c>
      <c r="F8" s="1047"/>
      <c r="G8" s="1048" t="s">
        <v>162</v>
      </c>
      <c r="H8" s="1049"/>
      <c r="K8" s="1024" t="s">
        <v>383</v>
      </c>
      <c r="L8" s="1025"/>
      <c r="M8" s="1026"/>
    </row>
    <row r="9" spans="2:19" ht="16.5" customHeight="1" outlineLevel="1">
      <c r="C9" s="292" t="s">
        <v>96</v>
      </c>
      <c r="D9" s="293">
        <v>32.06</v>
      </c>
      <c r="E9" s="242" t="s">
        <v>387</v>
      </c>
      <c r="F9" s="293">
        <f>D9+2*D12</f>
        <v>64.06</v>
      </c>
      <c r="G9" s="443" t="s">
        <v>561</v>
      </c>
      <c r="H9" s="81">
        <f>D11+4*D14</f>
        <v>16</v>
      </c>
      <c r="K9" s="158" t="s">
        <v>396</v>
      </c>
      <c r="L9" s="295">
        <v>1.2</v>
      </c>
      <c r="M9" s="159" t="s">
        <v>335</v>
      </c>
    </row>
    <row r="10" spans="2:19" ht="16.5" customHeight="1" outlineLevel="1" thickBot="1">
      <c r="C10" s="292" t="s">
        <v>95</v>
      </c>
      <c r="D10" s="293">
        <v>14</v>
      </c>
      <c r="E10" s="242" t="s">
        <v>388</v>
      </c>
      <c r="F10" s="293">
        <f>2*D10+D12</f>
        <v>44</v>
      </c>
      <c r="G10" s="443" t="s">
        <v>562</v>
      </c>
      <c r="H10" s="81">
        <f>D11*2+6*D14</f>
        <v>30</v>
      </c>
      <c r="K10" s="155" t="s">
        <v>384</v>
      </c>
      <c r="L10" s="440">
        <v>22.414000000000001</v>
      </c>
      <c r="M10" s="156" t="s">
        <v>385</v>
      </c>
    </row>
    <row r="11" spans="2:19" ht="16.5" customHeight="1" outlineLevel="1">
      <c r="C11" s="292" t="s">
        <v>72</v>
      </c>
      <c r="D11" s="293">
        <v>12</v>
      </c>
      <c r="E11" s="242" t="s">
        <v>389</v>
      </c>
      <c r="F11" s="293">
        <f>D11+2*D12</f>
        <v>44</v>
      </c>
      <c r="G11" s="443" t="s">
        <v>563</v>
      </c>
      <c r="H11" s="159">
        <f>3*D11+8*D14</f>
        <v>44</v>
      </c>
      <c r="I11" s="240"/>
      <c r="J11" s="240"/>
      <c r="K11" s="240"/>
      <c r="L11" s="272"/>
    </row>
    <row r="12" spans="2:19" ht="16.5" customHeight="1" outlineLevel="1">
      <c r="C12" s="292" t="s">
        <v>73</v>
      </c>
      <c r="D12" s="293">
        <v>16</v>
      </c>
      <c r="E12" s="242" t="s">
        <v>390</v>
      </c>
      <c r="F12" s="293">
        <f>D10+3*D14</f>
        <v>17</v>
      </c>
      <c r="G12" s="443" t="s">
        <v>564</v>
      </c>
      <c r="H12" s="159">
        <f>4*D11+10*D14</f>
        <v>58</v>
      </c>
      <c r="I12" s="240"/>
      <c r="J12" s="240"/>
      <c r="K12" s="240"/>
      <c r="L12" s="272"/>
    </row>
    <row r="13" spans="2:19" ht="16.5" customHeight="1" outlineLevel="1">
      <c r="C13" s="292" t="s">
        <v>74</v>
      </c>
      <c r="D13" s="293">
        <v>40</v>
      </c>
      <c r="E13" s="242" t="s">
        <v>46</v>
      </c>
      <c r="F13" s="293">
        <f>D11+D12+2*D10+4*D14</f>
        <v>60</v>
      </c>
      <c r="G13" s="295"/>
      <c r="H13" s="159"/>
      <c r="I13" s="240"/>
      <c r="J13" s="240"/>
      <c r="K13" s="240"/>
      <c r="L13" s="272"/>
    </row>
    <row r="14" spans="2:19" ht="16.5" customHeight="1" outlineLevel="1">
      <c r="C14" s="292" t="s">
        <v>93</v>
      </c>
      <c r="D14" s="293">
        <v>1</v>
      </c>
      <c r="E14" s="242" t="s">
        <v>391</v>
      </c>
      <c r="F14" s="293">
        <f>D13+D9+4*D12+2*(D12+2*D14)</f>
        <v>172.06</v>
      </c>
      <c r="G14" s="295"/>
      <c r="H14" s="159"/>
      <c r="I14" s="240"/>
      <c r="J14" s="240"/>
      <c r="K14" s="240"/>
      <c r="L14" s="272"/>
    </row>
    <row r="15" spans="2:19" ht="16.5" customHeight="1" outlineLevel="1">
      <c r="C15" s="292"/>
      <c r="D15" s="293"/>
      <c r="E15" s="242" t="s">
        <v>392</v>
      </c>
      <c r="F15" s="293">
        <f>D13+D11+3*D12</f>
        <v>100</v>
      </c>
      <c r="G15" s="295"/>
      <c r="H15" s="159"/>
      <c r="I15" s="240"/>
      <c r="J15" s="240"/>
      <c r="K15" s="240"/>
      <c r="L15" s="272"/>
    </row>
    <row r="16" spans="2:19" ht="16.5" customHeight="1" outlineLevel="1" thickBot="1">
      <c r="C16" s="296"/>
      <c r="D16" s="297"/>
      <c r="E16" s="235" t="s">
        <v>393</v>
      </c>
      <c r="F16" s="473">
        <f>D12+2*D14</f>
        <v>18</v>
      </c>
      <c r="G16" s="235"/>
      <c r="H16" s="156"/>
      <c r="I16" s="240"/>
      <c r="J16" s="240"/>
      <c r="K16" s="240"/>
      <c r="L16" s="272"/>
    </row>
    <row r="17" spans="2:19" ht="16.5" customHeight="1" outlineLevel="1">
      <c r="C17" s="286"/>
      <c r="D17" s="286"/>
      <c r="E17" s="295"/>
      <c r="F17" s="295"/>
      <c r="G17" s="240"/>
      <c r="H17" s="240"/>
      <c r="I17" s="240"/>
      <c r="J17" s="240"/>
      <c r="K17" s="240"/>
      <c r="L17" s="272"/>
    </row>
    <row r="18" spans="2:19" s="75" customFormat="1" ht="30" customHeight="1">
      <c r="B18" s="73"/>
      <c r="C18" s="74" t="s">
        <v>245</v>
      </c>
      <c r="D18" s="289"/>
      <c r="E18" s="290"/>
      <c r="F18" s="290"/>
      <c r="G18" s="290"/>
      <c r="H18" s="290"/>
      <c r="I18" s="290"/>
      <c r="J18" s="290"/>
      <c r="K18" s="290"/>
      <c r="L18" s="291"/>
      <c r="M18" s="76"/>
      <c r="N18" s="74" t="s">
        <v>322</v>
      </c>
      <c r="O18" s="76"/>
      <c r="P18" s="76"/>
      <c r="S18" s="76"/>
    </row>
    <row r="19" spans="2:19" ht="16.5" customHeight="1" outlineLevel="1" thickBot="1">
      <c r="C19" s="286"/>
      <c r="D19" s="286"/>
      <c r="E19" s="240"/>
      <c r="F19" s="240"/>
      <c r="G19" s="240"/>
      <c r="H19" s="240"/>
      <c r="I19" s="240"/>
      <c r="J19" s="240"/>
      <c r="K19" s="240"/>
      <c r="L19" s="272"/>
    </row>
    <row r="20" spans="2:19" ht="16.5" customHeight="1" outlineLevel="1">
      <c r="C20" s="299" t="s">
        <v>365</v>
      </c>
      <c r="D20" s="300">
        <v>1000</v>
      </c>
      <c r="E20" s="301" t="s">
        <v>366</v>
      </c>
      <c r="F20" s="240"/>
      <c r="G20" s="240"/>
      <c r="H20" s="240"/>
      <c r="I20" s="240"/>
      <c r="J20" s="240"/>
      <c r="K20" s="240"/>
      <c r="L20" s="272"/>
      <c r="N20" s="585" t="s">
        <v>386</v>
      </c>
      <c r="O20" s="586"/>
      <c r="P20" s="587"/>
      <c r="S20" s="71"/>
    </row>
    <row r="21" spans="2:19" ht="16.5" customHeight="1" outlineLevel="1" thickBot="1">
      <c r="C21" s="155" t="s">
        <v>397</v>
      </c>
      <c r="D21" s="302">
        <v>60</v>
      </c>
      <c r="E21" s="156" t="s">
        <v>90</v>
      </c>
      <c r="F21" s="240"/>
      <c r="G21" s="240"/>
      <c r="H21" s="240"/>
      <c r="I21" s="240"/>
      <c r="J21" s="240"/>
      <c r="K21" s="240"/>
      <c r="L21" s="272"/>
      <c r="N21" s="1072" t="s">
        <v>0</v>
      </c>
      <c r="O21" s="1070"/>
      <c r="P21" s="591"/>
      <c r="S21" s="71"/>
    </row>
    <row r="22" spans="2:19" ht="16.5" customHeight="1" outlineLevel="1" thickBot="1">
      <c r="C22" s="286"/>
      <c r="D22" s="286"/>
      <c r="E22" s="240"/>
      <c r="F22" s="240"/>
      <c r="G22" s="240"/>
      <c r="H22" s="240"/>
      <c r="I22" s="240"/>
      <c r="J22" s="240"/>
      <c r="K22" s="240"/>
      <c r="L22" s="272"/>
      <c r="N22" s="274"/>
      <c r="O22" s="274" t="s">
        <v>931</v>
      </c>
      <c r="P22" s="592"/>
      <c r="S22" s="71"/>
    </row>
    <row r="23" spans="2:19" ht="16.5" customHeight="1" outlineLevel="1">
      <c r="C23" s="1024" t="s">
        <v>247</v>
      </c>
      <c r="D23" s="1025"/>
      <c r="E23" s="1026"/>
      <c r="F23" s="240"/>
      <c r="G23" s="240"/>
      <c r="H23" s="240"/>
      <c r="I23" s="240"/>
      <c r="J23" s="240"/>
      <c r="K23" s="240"/>
      <c r="L23" s="272"/>
      <c r="N23" s="274"/>
      <c r="O23" s="584"/>
      <c r="P23" s="592"/>
      <c r="S23" s="71"/>
    </row>
    <row r="24" spans="2:19" ht="21.75" customHeight="1" outlineLevel="1">
      <c r="C24" s="158" t="s">
        <v>408</v>
      </c>
      <c r="D24" s="265">
        <v>600</v>
      </c>
      <c r="E24" s="159" t="s">
        <v>409</v>
      </c>
      <c r="F24" s="240"/>
      <c r="G24" s="240"/>
      <c r="H24" s="240"/>
      <c r="I24" s="240"/>
      <c r="J24" s="240"/>
      <c r="K24" s="240"/>
      <c r="L24" s="272"/>
      <c r="N24" s="274" t="s">
        <v>926</v>
      </c>
      <c r="O24" s="589" t="s">
        <v>929</v>
      </c>
      <c r="P24" s="592"/>
      <c r="S24" s="71"/>
    </row>
    <row r="25" spans="2:19" ht="16.5" customHeight="1" outlineLevel="1" thickBot="1">
      <c r="C25" s="1027" t="s">
        <v>246</v>
      </c>
      <c r="D25" s="1028"/>
      <c r="E25" s="1029"/>
      <c r="F25" s="240"/>
      <c r="G25" s="240"/>
      <c r="H25" s="240"/>
      <c r="I25" s="240"/>
      <c r="J25" s="240"/>
      <c r="K25" s="240"/>
      <c r="L25" s="272"/>
      <c r="N25" s="274" t="s">
        <v>927</v>
      </c>
      <c r="O25" s="589" t="s">
        <v>932</v>
      </c>
      <c r="P25" s="592"/>
      <c r="S25" s="71"/>
    </row>
    <row r="26" spans="2:19" ht="16.5" customHeight="1" outlineLevel="1">
      <c r="C26" s="240"/>
      <c r="D26" s="240"/>
      <c r="E26" s="240"/>
      <c r="F26" s="240"/>
      <c r="G26" s="240"/>
      <c r="H26" s="240"/>
      <c r="I26" s="240"/>
      <c r="J26" s="240"/>
      <c r="K26" s="240"/>
      <c r="L26" s="272"/>
      <c r="N26" s="588" t="s">
        <v>928</v>
      </c>
      <c r="O26" s="590" t="s">
        <v>933</v>
      </c>
      <c r="P26" s="593"/>
      <c r="S26" s="71"/>
    </row>
    <row r="27" spans="2:19" ht="16.5" customHeight="1" outlineLevel="1">
      <c r="C27" s="240"/>
      <c r="D27" s="240"/>
      <c r="E27" s="240"/>
      <c r="F27" s="240"/>
      <c r="G27" s="240"/>
      <c r="H27" s="242"/>
      <c r="I27" s="203"/>
      <c r="J27" s="203"/>
      <c r="K27" s="303"/>
      <c r="L27" s="303"/>
      <c r="M27" s="120"/>
      <c r="N27" s="303"/>
      <c r="O27" s="303"/>
      <c r="P27" s="303"/>
      <c r="Q27" s="240"/>
      <c r="R27" s="240"/>
    </row>
    <row r="28" spans="2:19" s="75" customFormat="1" ht="30" customHeight="1">
      <c r="B28" s="73"/>
      <c r="C28" s="74" t="s">
        <v>251</v>
      </c>
      <c r="D28" s="121"/>
      <c r="E28" s="121"/>
      <c r="F28" s="121"/>
      <c r="G28" s="121"/>
      <c r="H28" s="121"/>
      <c r="I28" s="121"/>
      <c r="J28" s="121"/>
      <c r="K28" s="121"/>
      <c r="L28" s="121"/>
      <c r="M28" s="121"/>
      <c r="N28" s="74" t="s">
        <v>324</v>
      </c>
      <c r="O28" s="121"/>
      <c r="P28" s="121"/>
      <c r="Q28" s="121"/>
      <c r="R28" s="290"/>
      <c r="S28" s="76"/>
    </row>
    <row r="29" spans="2:19" s="93" customFormat="1" ht="16.5" customHeight="1" outlineLevel="1" thickBot="1">
      <c r="B29" s="122"/>
      <c r="C29" s="123"/>
      <c r="D29" s="124"/>
      <c r="E29" s="124"/>
      <c r="F29" s="124"/>
      <c r="G29" s="124"/>
      <c r="H29" s="124"/>
      <c r="I29" s="124"/>
      <c r="J29" s="124"/>
      <c r="K29" s="124"/>
      <c r="L29" s="124"/>
      <c r="M29" s="124"/>
      <c r="N29" s="124"/>
      <c r="O29" s="124"/>
      <c r="P29" s="124"/>
      <c r="Q29" s="124"/>
      <c r="R29" s="125"/>
      <c r="S29" s="97"/>
    </row>
    <row r="30" spans="2:19" s="93" customFormat="1" ht="16.5" customHeight="1" outlineLevel="1">
      <c r="B30" s="122"/>
      <c r="C30" s="1050" t="s">
        <v>331</v>
      </c>
      <c r="D30" s="1051"/>
      <c r="E30" s="1052"/>
      <c r="G30" s="1050" t="s">
        <v>45</v>
      </c>
      <c r="H30" s="1051"/>
      <c r="I30" s="1052"/>
      <c r="N30" s="1022" t="s">
        <v>255</v>
      </c>
      <c r="O30" s="1023"/>
      <c r="P30" s="124"/>
      <c r="Q30" s="125"/>
      <c r="R30" s="125"/>
      <c r="S30" s="97"/>
    </row>
    <row r="31" spans="2:19" s="93" customFormat="1" ht="16.5" customHeight="1" outlineLevel="1">
      <c r="B31" s="122"/>
      <c r="C31" s="1053" t="s">
        <v>107</v>
      </c>
      <c r="D31" s="265">
        <v>0</v>
      </c>
      <c r="E31" s="159" t="s">
        <v>87</v>
      </c>
      <c r="G31" s="158" t="s">
        <v>161</v>
      </c>
      <c r="H31" s="265">
        <v>450</v>
      </c>
      <c r="I31" s="159" t="s">
        <v>38</v>
      </c>
      <c r="N31" s="318" t="s">
        <v>127</v>
      </c>
      <c r="O31" s="326" t="s">
        <v>128</v>
      </c>
      <c r="P31" s="124"/>
      <c r="Q31" s="125"/>
      <c r="R31" s="125"/>
      <c r="S31" s="97"/>
    </row>
    <row r="32" spans="2:19" s="93" customFormat="1" ht="16.5" customHeight="1" outlineLevel="1">
      <c r="B32" s="122"/>
      <c r="C32" s="1053"/>
      <c r="D32" s="265">
        <v>6000</v>
      </c>
      <c r="E32" s="159" t="s">
        <v>88</v>
      </c>
      <c r="G32" s="158" t="s">
        <v>46</v>
      </c>
      <c r="H32" s="265">
        <v>220</v>
      </c>
      <c r="I32" s="159" t="s">
        <v>38</v>
      </c>
      <c r="N32" s="318" t="s">
        <v>129</v>
      </c>
      <c r="O32" s="326" t="s">
        <v>130</v>
      </c>
      <c r="P32" s="124"/>
      <c r="Q32" s="125"/>
      <c r="R32" s="125"/>
      <c r="S32" s="97"/>
    </row>
    <row r="33" spans="2:19" s="93" customFormat="1" ht="16.5" customHeight="1" outlineLevel="1">
      <c r="B33" s="122"/>
      <c r="C33" s="158" t="s">
        <v>108</v>
      </c>
      <c r="D33" s="306">
        <f>IF(D31=0,D32/8760*100,D31)</f>
        <v>68.493150684931507</v>
      </c>
      <c r="E33" s="159" t="s">
        <v>87</v>
      </c>
      <c r="G33" s="158" t="s">
        <v>47</v>
      </c>
      <c r="H33" s="265">
        <v>30</v>
      </c>
      <c r="I33" s="159" t="s">
        <v>48</v>
      </c>
      <c r="N33" s="318" t="s">
        <v>131</v>
      </c>
      <c r="O33" s="326" t="s">
        <v>132</v>
      </c>
      <c r="P33" s="124"/>
      <c r="Q33" s="125"/>
      <c r="R33" s="125"/>
      <c r="S33" s="97"/>
    </row>
    <row r="34" spans="2:19" s="93" customFormat="1" ht="16.5" customHeight="1" outlineLevel="1" thickBot="1">
      <c r="B34" s="122"/>
      <c r="C34" s="1027" t="s">
        <v>246</v>
      </c>
      <c r="D34" s="1028"/>
      <c r="E34" s="1029"/>
      <c r="G34" s="308" t="s">
        <v>520</v>
      </c>
      <c r="H34" s="309">
        <v>4.1399999999999999E-2</v>
      </c>
      <c r="I34" s="156" t="s">
        <v>20</v>
      </c>
      <c r="M34" s="124"/>
      <c r="N34" s="323" t="s">
        <v>1157</v>
      </c>
      <c r="O34" s="327" t="s">
        <v>133</v>
      </c>
      <c r="P34" s="124"/>
      <c r="Q34" s="125"/>
      <c r="R34" s="125"/>
      <c r="S34" s="97"/>
    </row>
    <row r="35" spans="2:19" s="93" customFormat="1" ht="16.5" customHeight="1" outlineLevel="1" thickBot="1">
      <c r="B35" s="122"/>
      <c r="C35" s="242"/>
      <c r="D35" s="307"/>
      <c r="E35" s="125"/>
      <c r="F35" s="295"/>
      <c r="G35" s="308" t="s">
        <v>520</v>
      </c>
      <c r="H35" s="389">
        <f>0.000117/(1000*1.7*2.49)</f>
        <v>2.7639971651311127E-8</v>
      </c>
      <c r="I35" s="156" t="s">
        <v>459</v>
      </c>
      <c r="M35" s="124"/>
      <c r="N35" s="269" t="s">
        <v>134</v>
      </c>
      <c r="O35" s="242"/>
      <c r="P35" s="124"/>
      <c r="Q35" s="125"/>
      <c r="R35" s="125"/>
      <c r="S35" s="97"/>
    </row>
    <row r="36" spans="2:19" s="93" customFormat="1" ht="16.5" customHeight="1" outlineLevel="1">
      <c r="B36" s="122"/>
      <c r="C36" s="123"/>
      <c r="D36" s="124"/>
      <c r="E36" s="124"/>
      <c r="F36" s="125"/>
      <c r="G36" s="125"/>
      <c r="H36" s="124"/>
      <c r="I36" s="124"/>
      <c r="J36" s="124"/>
      <c r="K36" s="124"/>
      <c r="L36" s="124"/>
      <c r="M36" s="124"/>
      <c r="N36" s="124"/>
      <c r="O36" s="124"/>
      <c r="P36" s="124"/>
      <c r="Q36" s="124"/>
      <c r="R36" s="125"/>
      <c r="S36" s="97"/>
    </row>
    <row r="37" spans="2:19" s="75" customFormat="1" ht="30" customHeight="1">
      <c r="B37" s="73"/>
      <c r="C37" s="74" t="s">
        <v>249</v>
      </c>
      <c r="D37" s="121"/>
      <c r="E37" s="121"/>
      <c r="F37" s="121"/>
      <c r="G37" s="121"/>
      <c r="H37" s="121"/>
      <c r="I37" s="121"/>
      <c r="J37" s="121"/>
      <c r="K37" s="121"/>
      <c r="L37" s="121"/>
      <c r="M37" s="121"/>
      <c r="N37" s="74" t="s">
        <v>325</v>
      </c>
      <c r="O37" s="121"/>
      <c r="P37" s="121"/>
      <c r="Q37" s="121"/>
      <c r="R37" s="290"/>
      <c r="S37" s="76"/>
    </row>
    <row r="38" spans="2:19" ht="16.5" customHeight="1" outlineLevel="2" thickBot="1">
      <c r="C38" s="240"/>
      <c r="D38" s="240"/>
      <c r="E38" s="240"/>
      <c r="F38" s="240"/>
      <c r="G38" s="240"/>
      <c r="H38" s="240"/>
      <c r="I38" s="240"/>
      <c r="J38" s="240"/>
      <c r="K38" s="240"/>
      <c r="L38" s="272"/>
      <c r="N38" s="272"/>
      <c r="O38" s="272"/>
      <c r="P38" s="272"/>
      <c r="Q38" s="240"/>
      <c r="R38" s="240"/>
    </row>
    <row r="39" spans="2:19" ht="16.5" customHeight="1" outlineLevel="2">
      <c r="C39" s="1050" t="s">
        <v>250</v>
      </c>
      <c r="D39" s="1051"/>
      <c r="E39" s="1052"/>
      <c r="F39" s="240"/>
      <c r="G39" s="240"/>
      <c r="H39" s="240"/>
      <c r="I39" s="240"/>
      <c r="J39" s="240"/>
      <c r="K39" s="311"/>
      <c r="L39" s="272"/>
      <c r="N39" s="1022" t="s">
        <v>398</v>
      </c>
      <c r="O39" s="1023"/>
      <c r="P39" s="272"/>
      <c r="Q39" s="240"/>
      <c r="R39" s="240"/>
    </row>
    <row r="40" spans="2:19" ht="16.5" customHeight="1" outlineLevel="2" thickBot="1">
      <c r="C40" s="470" t="s">
        <v>399</v>
      </c>
      <c r="D40" s="471">
        <v>1.07</v>
      </c>
      <c r="E40" s="472" t="s">
        <v>329</v>
      </c>
      <c r="F40" s="240"/>
      <c r="G40" s="240"/>
      <c r="H40" s="240"/>
      <c r="I40" s="240"/>
      <c r="J40" s="240"/>
      <c r="K40" s="311"/>
      <c r="L40" s="272"/>
      <c r="N40" s="130" t="s">
        <v>353</v>
      </c>
      <c r="O40" s="328" t="s">
        <v>358</v>
      </c>
      <c r="P40" s="272"/>
      <c r="Q40" s="240"/>
      <c r="R40" s="240"/>
    </row>
    <row r="41" spans="2:19" ht="16.5" customHeight="1" outlineLevel="2">
      <c r="C41" s="999"/>
      <c r="D41" s="1000"/>
      <c r="E41" s="999"/>
      <c r="F41" s="240"/>
      <c r="G41" s="240"/>
      <c r="H41" s="240"/>
      <c r="I41" s="240"/>
      <c r="J41" s="240"/>
      <c r="K41" s="311"/>
      <c r="L41" s="272"/>
      <c r="N41" s="130" t="s">
        <v>354</v>
      </c>
      <c r="O41" s="328" t="s">
        <v>359</v>
      </c>
      <c r="P41" s="272"/>
      <c r="Q41" s="240"/>
      <c r="R41" s="240"/>
    </row>
    <row r="42" spans="2:19" ht="16.5" customHeight="1" outlineLevel="2">
      <c r="C42" s="999"/>
      <c r="D42" s="1000"/>
      <c r="E42" s="999"/>
      <c r="F42" s="240"/>
      <c r="G42" s="240"/>
      <c r="H42" s="240"/>
      <c r="I42" s="240"/>
      <c r="J42" s="240"/>
      <c r="K42" s="311"/>
      <c r="L42" s="272"/>
      <c r="N42" s="130" t="s">
        <v>258</v>
      </c>
      <c r="O42" s="328"/>
      <c r="P42" s="272"/>
      <c r="Q42" s="240"/>
      <c r="R42" s="240"/>
    </row>
    <row r="43" spans="2:19" ht="16.5" customHeight="1" outlineLevel="2">
      <c r="C43" s="999"/>
      <c r="D43" s="1000"/>
      <c r="E43" s="999"/>
      <c r="F43" s="240"/>
      <c r="G43" s="240"/>
      <c r="H43" s="240"/>
      <c r="I43" s="240"/>
      <c r="J43" s="240"/>
      <c r="K43" s="311"/>
      <c r="L43" s="272"/>
      <c r="N43" s="329" t="s">
        <v>355</v>
      </c>
      <c r="O43" s="328" t="s">
        <v>360</v>
      </c>
      <c r="P43" s="272"/>
      <c r="Q43" s="240"/>
      <c r="R43" s="240"/>
    </row>
    <row r="44" spans="2:19" ht="16.5" customHeight="1" outlineLevel="2" thickBot="1">
      <c r="C44" s="242"/>
      <c r="D44" s="242"/>
      <c r="E44" s="242"/>
      <c r="F44" s="240"/>
      <c r="G44" s="240"/>
      <c r="H44" s="240"/>
      <c r="I44" s="240"/>
      <c r="J44" s="240"/>
      <c r="K44" s="315"/>
      <c r="L44" s="272"/>
      <c r="N44" s="329" t="s">
        <v>356</v>
      </c>
      <c r="O44" s="328" t="s">
        <v>361</v>
      </c>
      <c r="P44" s="272"/>
      <c r="Q44" s="240"/>
      <c r="R44" s="240"/>
    </row>
    <row r="45" spans="2:19" ht="16.5" customHeight="1" outlineLevel="2" thickBot="1">
      <c r="C45" s="1030" t="s">
        <v>257</v>
      </c>
      <c r="D45" s="1031"/>
      <c r="E45" s="1032"/>
      <c r="F45" s="240"/>
      <c r="G45" s="240"/>
      <c r="H45" s="240"/>
      <c r="I45" s="240"/>
      <c r="J45" s="240"/>
      <c r="K45" s="242"/>
      <c r="L45" s="272"/>
      <c r="N45" s="330" t="s">
        <v>357</v>
      </c>
      <c r="O45" s="298" t="s">
        <v>362</v>
      </c>
      <c r="P45" s="272"/>
      <c r="Q45" s="240"/>
      <c r="R45" s="240"/>
    </row>
    <row r="46" spans="2:19" ht="16.5" customHeight="1" outlineLevel="2" thickBot="1">
      <c r="C46" s="155" t="s">
        <v>560</v>
      </c>
      <c r="D46" s="317" t="s">
        <v>493</v>
      </c>
      <c r="E46" s="156" t="s">
        <v>271</v>
      </c>
      <c r="F46" s="240"/>
      <c r="G46" s="240"/>
      <c r="H46" s="240"/>
      <c r="I46" s="240"/>
      <c r="J46" s="240"/>
      <c r="K46" s="242"/>
      <c r="L46" s="272"/>
      <c r="N46" s="71"/>
      <c r="O46" s="71"/>
      <c r="P46" s="272"/>
      <c r="Q46" s="240"/>
      <c r="R46" s="240"/>
    </row>
    <row r="47" spans="2:19" ht="16.5" customHeight="1" outlineLevel="2">
      <c r="C47" s="240"/>
      <c r="D47" s="240"/>
      <c r="E47" s="240"/>
      <c r="F47" s="240"/>
      <c r="G47" s="240"/>
      <c r="H47" s="240"/>
      <c r="I47" s="240"/>
      <c r="J47" s="240"/>
      <c r="K47" s="242"/>
      <c r="L47" s="272"/>
      <c r="N47" s="71"/>
      <c r="O47" s="71"/>
      <c r="P47" s="272"/>
      <c r="Q47" s="240"/>
      <c r="R47" s="240"/>
    </row>
    <row r="48" spans="2:19" ht="16.5" customHeight="1" outlineLevel="2">
      <c r="F48" s="240"/>
      <c r="G48" s="240"/>
      <c r="H48" s="240"/>
      <c r="I48" s="240"/>
      <c r="J48" s="240"/>
      <c r="K48" s="242"/>
      <c r="L48" s="272"/>
      <c r="N48" s="71"/>
      <c r="O48" s="71"/>
      <c r="P48" s="272"/>
      <c r="Q48" s="240"/>
      <c r="R48" s="240"/>
    </row>
    <row r="49" spans="2:19" s="126" customFormat="1" ht="30" customHeight="1" outlineLevel="1">
      <c r="C49" s="128"/>
      <c r="D49" s="129" t="s">
        <v>256</v>
      </c>
      <c r="F49" s="153"/>
      <c r="G49" s="153"/>
      <c r="H49" s="153"/>
      <c r="I49" s="153"/>
      <c r="J49" s="153"/>
      <c r="K49" s="153"/>
      <c r="L49" s="127"/>
      <c r="M49" s="127"/>
      <c r="N49" s="129"/>
      <c r="O49" s="127"/>
      <c r="P49" s="127"/>
      <c r="S49" s="127"/>
    </row>
    <row r="50" spans="2:19" s="93" customFormat="1" ht="16.5" customHeight="1" outlineLevel="2" thickBot="1">
      <c r="C50" s="122"/>
      <c r="D50" s="123"/>
      <c r="F50" s="131"/>
      <c r="G50" s="131"/>
      <c r="H50" s="131"/>
      <c r="I50" s="131"/>
      <c r="J50" s="131"/>
      <c r="K50" s="131"/>
      <c r="L50" s="97"/>
      <c r="M50" s="97"/>
      <c r="N50" s="97"/>
      <c r="O50" s="97"/>
      <c r="P50" s="97"/>
      <c r="S50" s="97"/>
    </row>
    <row r="51" spans="2:19" ht="16.5" customHeight="1" outlineLevel="2">
      <c r="B51" s="79"/>
      <c r="C51" s="1050" t="s">
        <v>1266</v>
      </c>
      <c r="D51" s="1051"/>
      <c r="E51" s="1052"/>
      <c r="F51" s="242"/>
      <c r="G51" s="271"/>
      <c r="H51" s="271"/>
      <c r="I51" s="271"/>
      <c r="J51" s="79"/>
      <c r="K51" s="79"/>
    </row>
    <row r="52" spans="2:19" ht="16.5" customHeight="1" outlineLevel="2">
      <c r="C52" s="130" t="s">
        <v>378</v>
      </c>
      <c r="D52" s="469">
        <f>D68</f>
        <v>40.022420000000004</v>
      </c>
      <c r="E52" s="159" t="s">
        <v>535</v>
      </c>
      <c r="F52" s="240"/>
      <c r="G52" s="443"/>
      <c r="H52" s="246"/>
      <c r="I52" s="242"/>
    </row>
    <row r="53" spans="2:19" ht="18.75" outlineLevel="2">
      <c r="C53" s="80" t="s">
        <v>555</v>
      </c>
      <c r="D53" s="88">
        <v>0.84</v>
      </c>
      <c r="E53" s="81" t="s">
        <v>335</v>
      </c>
      <c r="F53" s="240"/>
      <c r="G53" s="443"/>
      <c r="H53" s="242"/>
      <c r="I53" s="242"/>
    </row>
    <row r="54" spans="2:19" ht="18.75" outlineLevel="2">
      <c r="C54" s="130" t="s">
        <v>948</v>
      </c>
      <c r="D54" s="267">
        <f>(0.2249*D52+0.6476)/D53</f>
        <v>11.486478878571429</v>
      </c>
      <c r="E54" s="159" t="s">
        <v>950</v>
      </c>
      <c r="F54" s="240"/>
      <c r="G54" s="443"/>
      <c r="H54" s="242"/>
      <c r="I54" s="242"/>
    </row>
    <row r="55" spans="2:19" ht="18.75" outlineLevel="2">
      <c r="C55" s="130" t="s">
        <v>372</v>
      </c>
      <c r="D55" s="465">
        <f>(0.3443*D52-0.063)/L9*(D40-1)</f>
        <v>0.80014195368333407</v>
      </c>
      <c r="E55" s="81" t="s">
        <v>557</v>
      </c>
      <c r="F55" s="240"/>
      <c r="G55" s="443"/>
      <c r="H55" s="242"/>
      <c r="I55" s="242"/>
    </row>
    <row r="56" spans="2:19" ht="16.5" outlineLevel="2">
      <c r="C56" s="130" t="s">
        <v>373</v>
      </c>
      <c r="D56" s="267">
        <v>2</v>
      </c>
      <c r="E56" s="159" t="s">
        <v>554</v>
      </c>
      <c r="F56" s="240"/>
      <c r="G56" s="443"/>
      <c r="H56" s="267"/>
      <c r="I56" s="242"/>
    </row>
    <row r="57" spans="2:19" ht="18.75" outlineLevel="2">
      <c r="C57" s="130" t="s">
        <v>400</v>
      </c>
      <c r="D57" s="267">
        <f>D54+D55+D56</f>
        <v>14.286620832254762</v>
      </c>
      <c r="E57" s="249" t="s">
        <v>556</v>
      </c>
      <c r="F57" s="242"/>
      <c r="G57" s="443"/>
      <c r="H57" s="267"/>
      <c r="I57" s="242"/>
    </row>
    <row r="58" spans="2:19" ht="18.75" outlineLevel="2">
      <c r="C58" s="130" t="s">
        <v>401</v>
      </c>
      <c r="D58" s="466">
        <f>D57-D56</f>
        <v>12.286620832254762</v>
      </c>
      <c r="E58" s="249" t="s">
        <v>558</v>
      </c>
      <c r="F58" s="242"/>
      <c r="G58" s="443"/>
      <c r="H58" s="267"/>
      <c r="I58" s="242"/>
    </row>
    <row r="59" spans="2:19" ht="18.75" outlineLevel="2">
      <c r="C59" s="130" t="s">
        <v>374</v>
      </c>
      <c r="D59" s="599">
        <f>(0.21*D55)/D58*100</f>
        <v>1.3675835900493432</v>
      </c>
      <c r="E59" s="249" t="s">
        <v>405</v>
      </c>
      <c r="F59" s="242"/>
      <c r="G59" s="443"/>
      <c r="H59" s="267"/>
      <c r="I59" s="242"/>
    </row>
    <row r="60" spans="2:19" ht="19.5" outlineLevel="2" thickBot="1">
      <c r="C60" s="467" t="s">
        <v>375</v>
      </c>
      <c r="D60" s="468">
        <f>((21-G3)/(21-D59))</f>
        <v>0.91685096852757919</v>
      </c>
      <c r="E60" s="156" t="s">
        <v>406</v>
      </c>
      <c r="F60" s="242"/>
      <c r="G60" s="443"/>
      <c r="H60" s="252"/>
      <c r="I60" s="242"/>
    </row>
    <row r="61" spans="2:19" outlineLevel="2">
      <c r="F61" s="242"/>
      <c r="G61" s="443"/>
      <c r="H61" s="267"/>
      <c r="I61" s="242"/>
    </row>
    <row r="62" spans="2:19" ht="15" customHeight="1" outlineLevel="2">
      <c r="C62" s="240"/>
      <c r="D62" s="240"/>
      <c r="E62" s="240"/>
      <c r="F62" s="240"/>
      <c r="G62" s="240"/>
      <c r="H62" s="271"/>
      <c r="I62" s="209"/>
    </row>
    <row r="63" spans="2:19" s="126" customFormat="1" ht="30" customHeight="1" outlineLevel="1">
      <c r="C63" s="129"/>
      <c r="D63" s="129" t="s">
        <v>263</v>
      </c>
      <c r="F63" s="153"/>
      <c r="G63" s="153"/>
      <c r="H63" s="153"/>
      <c r="I63" s="153"/>
      <c r="J63" s="153"/>
      <c r="K63" s="153"/>
      <c r="L63" s="127"/>
      <c r="M63" s="127"/>
      <c r="N63" s="129" t="s">
        <v>326</v>
      </c>
      <c r="O63" s="127"/>
      <c r="P63" s="127"/>
      <c r="S63" s="127"/>
    </row>
    <row r="64" spans="2:19" s="93" customFormat="1" ht="17.25" customHeight="1" outlineLevel="1" thickBot="1">
      <c r="C64" s="123"/>
      <c r="D64" s="123"/>
      <c r="F64" s="82"/>
      <c r="G64" s="82"/>
      <c r="H64" s="82"/>
      <c r="I64" s="82"/>
      <c r="J64" s="82"/>
      <c r="K64" s="82"/>
      <c r="L64" s="97"/>
      <c r="M64" s="97"/>
      <c r="N64" s="123"/>
      <c r="O64" s="97"/>
      <c r="P64" s="97"/>
      <c r="S64" s="97"/>
    </row>
    <row r="65" spans="2:44" ht="16.5" customHeight="1" outlineLevel="2">
      <c r="C65" s="1050" t="s">
        <v>597</v>
      </c>
      <c r="D65" s="1051"/>
      <c r="E65" s="1051"/>
      <c r="F65" s="1051"/>
      <c r="G65" s="1051"/>
      <c r="H65" s="1051"/>
      <c r="I65" s="1051"/>
      <c r="J65" s="1051"/>
      <c r="K65" s="1052"/>
      <c r="N65" s="1079" t="s">
        <v>1</v>
      </c>
      <c r="O65" s="1038"/>
      <c r="P65" s="1038" t="s">
        <v>533</v>
      </c>
      <c r="Q65" s="1038"/>
      <c r="R65" s="1038"/>
      <c r="S65" s="1038"/>
      <c r="T65" s="1038"/>
      <c r="U65" s="1038"/>
      <c r="V65" s="1038"/>
      <c r="W65" s="1040"/>
    </row>
    <row r="66" spans="2:44" ht="16.5" customHeight="1" outlineLevel="2">
      <c r="C66" s="83"/>
      <c r="D66" s="435" t="s">
        <v>538</v>
      </c>
      <c r="E66" s="435" t="s">
        <v>539</v>
      </c>
      <c r="F66" s="435" t="s">
        <v>540</v>
      </c>
      <c r="G66" s="435" t="s">
        <v>541</v>
      </c>
      <c r="H66" s="435" t="s">
        <v>542</v>
      </c>
      <c r="I66" s="435" t="s">
        <v>543</v>
      </c>
      <c r="J66" s="435" t="s">
        <v>532</v>
      </c>
      <c r="K66" s="436" t="s">
        <v>531</v>
      </c>
      <c r="N66" s="1080"/>
      <c r="O66" s="1039"/>
      <c r="P66" s="435" t="s">
        <v>538</v>
      </c>
      <c r="Q66" s="435" t="s">
        <v>539</v>
      </c>
      <c r="R66" s="435" t="s">
        <v>540</v>
      </c>
      <c r="S66" s="435" t="s">
        <v>541</v>
      </c>
      <c r="T66" s="435" t="s">
        <v>542</v>
      </c>
      <c r="U66" s="447" t="s">
        <v>543</v>
      </c>
      <c r="V66" s="447" t="s">
        <v>536</v>
      </c>
      <c r="W66" s="448" t="s">
        <v>531</v>
      </c>
    </row>
    <row r="67" spans="2:44" ht="16.5" customHeight="1" outlineLevel="2">
      <c r="C67" s="220" t="s">
        <v>548</v>
      </c>
      <c r="D67" s="239">
        <f>100-SUM(E67:J67)</f>
        <v>86.08</v>
      </c>
      <c r="E67" s="595">
        <v>8.02</v>
      </c>
      <c r="F67" s="595">
        <v>2.66</v>
      </c>
      <c r="G67" s="595">
        <v>0.86</v>
      </c>
      <c r="H67" s="595">
        <v>1.61</v>
      </c>
      <c r="I67" s="595">
        <v>0.52</v>
      </c>
      <c r="J67" s="595">
        <v>0.25</v>
      </c>
      <c r="K67" s="1001">
        <v>44420</v>
      </c>
      <c r="N67" s="158" t="s">
        <v>522</v>
      </c>
      <c r="O67" s="295" t="s">
        <v>534</v>
      </c>
      <c r="P67" s="307">
        <v>86.08</v>
      </c>
      <c r="Q67" s="334">
        <v>8.02</v>
      </c>
      <c r="R67" s="334">
        <v>2.66</v>
      </c>
      <c r="S67" s="334">
        <v>0.86</v>
      </c>
      <c r="T67" s="334">
        <v>1.61</v>
      </c>
      <c r="U67" s="334">
        <v>0.52</v>
      </c>
      <c r="V67" s="456">
        <v>0.25000000000001421</v>
      </c>
      <c r="W67" s="454">
        <v>44420</v>
      </c>
    </row>
    <row r="68" spans="2:44" ht="16.5" customHeight="1" outlineLevel="2">
      <c r="C68" s="223" t="s">
        <v>378</v>
      </c>
      <c r="D68" s="227">
        <f>K67/1000*0.901</f>
        <v>40.022420000000004</v>
      </c>
      <c r="E68" s="228" t="s">
        <v>535</v>
      </c>
      <c r="F68" s="224" t="s">
        <v>552</v>
      </c>
      <c r="G68" s="460">
        <f>(D67*2+E67*3+F67*4+(G67+J67)*5)/100</f>
        <v>2.1241000000000003</v>
      </c>
      <c r="H68" s="228" t="s">
        <v>547</v>
      </c>
      <c r="I68" s="462" t="s">
        <v>550</v>
      </c>
      <c r="J68" s="596">
        <f>(D67*2+E67*3.5+F67*5+(G67+J67)*6.5)/100</f>
        <v>2.2074500000000001</v>
      </c>
      <c r="K68" s="463" t="s">
        <v>549</v>
      </c>
      <c r="L68" s="71"/>
      <c r="M68" s="71"/>
      <c r="N68" s="158" t="s">
        <v>523</v>
      </c>
      <c r="O68" s="295" t="s">
        <v>524</v>
      </c>
      <c r="P68" s="307">
        <v>81.599999999999994</v>
      </c>
      <c r="Q68" s="334">
        <v>2.78</v>
      </c>
      <c r="R68" s="334">
        <v>0.37</v>
      </c>
      <c r="S68" s="334">
        <v>0.13</v>
      </c>
      <c r="T68" s="334">
        <v>1</v>
      </c>
      <c r="U68" s="334">
        <v>14</v>
      </c>
      <c r="V68" s="456">
        <v>0.12000000000000455</v>
      </c>
      <c r="W68" s="454">
        <v>35170</v>
      </c>
    </row>
    <row r="69" spans="2:44" ht="16.5" customHeight="1" outlineLevel="2" thickBot="1">
      <c r="C69" s="225" t="s">
        <v>401</v>
      </c>
      <c r="D69" s="464">
        <f>(D67+2*E67+3*F67+4*G67+H67+I67+4*J67)/100+J69-J68</f>
        <v>10.206733333333336</v>
      </c>
      <c r="E69" s="233" t="s">
        <v>547</v>
      </c>
      <c r="F69" s="226" t="s">
        <v>553</v>
      </c>
      <c r="G69" s="461">
        <f>G68+D69</f>
        <v>12.330833333333336</v>
      </c>
      <c r="H69" s="233" t="s">
        <v>547</v>
      </c>
      <c r="I69" s="458" t="s">
        <v>551</v>
      </c>
      <c r="J69" s="464">
        <f>J68/0.21*D40</f>
        <v>11.247483333333335</v>
      </c>
      <c r="K69" s="459" t="s">
        <v>545</v>
      </c>
      <c r="L69" s="71"/>
      <c r="M69" s="71"/>
      <c r="N69" s="158" t="s">
        <v>525</v>
      </c>
      <c r="O69" s="295" t="s">
        <v>526</v>
      </c>
      <c r="P69" s="307">
        <v>71.099999999999994</v>
      </c>
      <c r="Q69" s="334">
        <v>25.6</v>
      </c>
      <c r="R69" s="334">
        <v>1.5</v>
      </c>
      <c r="S69" s="334">
        <v>0.2</v>
      </c>
      <c r="T69" s="334">
        <v>1</v>
      </c>
      <c r="U69" s="334">
        <v>0.6</v>
      </c>
      <c r="V69" s="456">
        <v>0</v>
      </c>
      <c r="W69" s="454">
        <v>48150</v>
      </c>
    </row>
    <row r="70" spans="2:44" ht="16.5" customHeight="1" outlineLevel="2">
      <c r="L70" s="71"/>
      <c r="M70" s="71"/>
      <c r="N70" s="446" t="s">
        <v>171</v>
      </c>
      <c r="O70" s="295" t="s">
        <v>527</v>
      </c>
      <c r="P70" s="188">
        <v>83.19</v>
      </c>
      <c r="Q70" s="336">
        <v>3.36</v>
      </c>
      <c r="R70" s="336">
        <v>2.65</v>
      </c>
      <c r="S70" s="336">
        <v>1.43</v>
      </c>
      <c r="T70" s="336">
        <v>8.35</v>
      </c>
      <c r="U70" s="336">
        <v>0.34</v>
      </c>
      <c r="V70" s="456">
        <v>0.67999999999999261</v>
      </c>
      <c r="W70" s="454">
        <v>40985</v>
      </c>
    </row>
    <row r="71" spans="2:44" ht="16.5" customHeight="1" outlineLevel="2">
      <c r="B71" s="88"/>
      <c r="I71" s="1075"/>
      <c r="J71" s="1075"/>
      <c r="L71" s="71"/>
      <c r="M71" s="71"/>
      <c r="N71" s="446" t="s">
        <v>171</v>
      </c>
      <c r="O71" s="295" t="s">
        <v>8</v>
      </c>
      <c r="P71" s="338">
        <v>95.74</v>
      </c>
      <c r="Q71" s="336">
        <v>1</v>
      </c>
      <c r="R71" s="336">
        <v>7.0000000000000007E-2</v>
      </c>
      <c r="S71" s="336">
        <v>0.02</v>
      </c>
      <c r="T71" s="336">
        <v>1.3</v>
      </c>
      <c r="U71" s="336">
        <v>1.8</v>
      </c>
      <c r="V71" s="456">
        <v>7.00000000000216E-2</v>
      </c>
      <c r="W71" s="454">
        <v>39090</v>
      </c>
    </row>
    <row r="72" spans="2:44" ht="16.5" customHeight="1" outlineLevel="2">
      <c r="I72" s="79"/>
      <c r="J72" s="599"/>
      <c r="N72" s="446" t="s">
        <v>171</v>
      </c>
      <c r="O72" s="295" t="s">
        <v>528</v>
      </c>
      <c r="P72" s="188">
        <v>85.9</v>
      </c>
      <c r="Q72" s="336">
        <v>5.8</v>
      </c>
      <c r="R72" s="336">
        <v>3.3</v>
      </c>
      <c r="S72" s="336">
        <v>1.6</v>
      </c>
      <c r="T72" s="336">
        <v>0.2</v>
      </c>
      <c r="U72" s="336">
        <v>2.1</v>
      </c>
      <c r="V72" s="456">
        <v>1.1000000000000085</v>
      </c>
      <c r="W72" s="454">
        <v>45430</v>
      </c>
    </row>
    <row r="73" spans="2:44" ht="17.25" customHeight="1" outlineLevel="2" thickBot="1">
      <c r="I73" s="79"/>
      <c r="J73" s="79"/>
      <c r="N73" s="155" t="s">
        <v>529</v>
      </c>
      <c r="O73" s="453" t="s">
        <v>171</v>
      </c>
      <c r="P73" s="190">
        <v>89.7</v>
      </c>
      <c r="Q73" s="339">
        <v>7.7</v>
      </c>
      <c r="R73" s="339">
        <v>2.6</v>
      </c>
      <c r="S73" s="339">
        <v>0</v>
      </c>
      <c r="T73" s="339">
        <v>0</v>
      </c>
      <c r="U73" s="339">
        <v>0</v>
      </c>
      <c r="V73" s="457">
        <v>0</v>
      </c>
      <c r="W73" s="455">
        <v>43800</v>
      </c>
    </row>
    <row r="74" spans="2:44" ht="17.25" customHeight="1" outlineLevel="2">
      <c r="C74" s="240"/>
      <c r="I74" s="443"/>
      <c r="J74" s="242"/>
      <c r="N74" s="452" t="s">
        <v>537</v>
      </c>
      <c r="O74" s="452"/>
      <c r="P74" s="452"/>
      <c r="Q74" s="452"/>
      <c r="R74" s="452"/>
      <c r="S74" s="452"/>
      <c r="T74" s="452"/>
      <c r="U74" s="452"/>
      <c r="V74" s="452"/>
      <c r="W74" s="452"/>
    </row>
    <row r="75" spans="2:44" ht="17.25" customHeight="1" outlineLevel="1">
      <c r="C75" s="221"/>
      <c r="D75" s="208"/>
      <c r="F75"/>
      <c r="L75" s="94"/>
      <c r="M75" s="94"/>
      <c r="N75" s="452"/>
      <c r="O75" s="452"/>
      <c r="P75" s="452"/>
      <c r="Q75" s="452"/>
      <c r="R75" s="452"/>
      <c r="S75" s="452"/>
      <c r="T75" s="452"/>
      <c r="U75" s="452"/>
      <c r="V75" s="452"/>
      <c r="W75" s="452"/>
      <c r="X75" s="78"/>
      <c r="Y75" s="78"/>
      <c r="Z75" s="133"/>
      <c r="AA75" s="93"/>
      <c r="AJ75" s="79"/>
      <c r="AK75" s="79"/>
      <c r="AL75" s="90"/>
      <c r="AM75" s="90"/>
      <c r="AN75" s="90"/>
      <c r="AO75" s="90"/>
      <c r="AP75" s="90"/>
      <c r="AQ75" s="90"/>
      <c r="AR75" s="90"/>
    </row>
    <row r="76" spans="2:44" ht="17.25" customHeight="1" outlineLevel="1">
      <c r="C76" s="88"/>
      <c r="L76" s="94"/>
      <c r="M76" s="94"/>
      <c r="N76" s="452"/>
      <c r="O76" s="452"/>
      <c r="P76" s="452"/>
      <c r="Q76" s="452"/>
      <c r="R76" s="452"/>
      <c r="S76" s="452"/>
      <c r="T76" s="452"/>
      <c r="U76" s="452"/>
      <c r="V76" s="452"/>
      <c r="W76" s="452"/>
      <c r="X76" s="78"/>
      <c r="Y76" s="78"/>
      <c r="Z76" s="133"/>
      <c r="AA76" s="93"/>
      <c r="AJ76" s="79"/>
      <c r="AK76" s="79"/>
      <c r="AL76" s="90"/>
      <c r="AM76" s="90"/>
      <c r="AN76" s="90"/>
      <c r="AO76" s="90"/>
      <c r="AP76" s="90"/>
      <c r="AQ76" s="90"/>
      <c r="AR76" s="90"/>
    </row>
    <row r="77" spans="2:44" ht="17.25" customHeight="1" outlineLevel="1" thickBot="1">
      <c r="C77" s="88"/>
      <c r="I77" s="79"/>
      <c r="J77" s="132"/>
      <c r="L77" s="94"/>
      <c r="M77" s="94"/>
      <c r="N77" s="452"/>
      <c r="O77" s="452"/>
      <c r="P77" s="452"/>
      <c r="Q77" s="452"/>
      <c r="R77" s="452"/>
      <c r="S77" s="452"/>
      <c r="T77" s="452"/>
      <c r="U77" s="452"/>
      <c r="V77" s="452"/>
      <c r="W77" s="452"/>
      <c r="X77" s="78"/>
      <c r="Y77" s="78"/>
      <c r="Z77" s="133"/>
      <c r="AA77" s="93"/>
      <c r="AJ77" s="79"/>
      <c r="AK77" s="79"/>
      <c r="AL77" s="90"/>
      <c r="AM77" s="90"/>
      <c r="AN77" s="90"/>
      <c r="AO77" s="90"/>
      <c r="AP77" s="90"/>
      <c r="AQ77" s="90"/>
      <c r="AR77" s="90"/>
    </row>
    <row r="78" spans="2:44" ht="17.25" customHeight="1" outlineLevel="1">
      <c r="C78" s="1050" t="s">
        <v>559</v>
      </c>
      <c r="D78" s="1051"/>
      <c r="E78" s="1052"/>
      <c r="F78" s="1075"/>
      <c r="G78" s="1075"/>
      <c r="H78" s="240"/>
      <c r="L78" s="94"/>
      <c r="M78" s="94"/>
      <c r="N78" s="94"/>
      <c r="O78" s="94"/>
      <c r="P78" s="94"/>
      <c r="S78" s="88"/>
      <c r="T78" s="79"/>
      <c r="U78" s="79"/>
      <c r="V78" s="79"/>
      <c r="W78" s="79"/>
      <c r="X78" s="79"/>
      <c r="Y78" s="78"/>
      <c r="Z78" s="133"/>
      <c r="AA78" s="93"/>
    </row>
    <row r="79" spans="2:44" ht="17.25" customHeight="1" outlineLevel="1">
      <c r="C79" s="130" t="s">
        <v>378</v>
      </c>
      <c r="D79" s="244">
        <f>IF(D46="d",D68,D52)</f>
        <v>40.022420000000004</v>
      </c>
      <c r="E79" s="245" t="s">
        <v>89</v>
      </c>
      <c r="F79" s="243"/>
      <c r="G79" s="242"/>
      <c r="H79" s="240"/>
      <c r="L79" s="94"/>
      <c r="M79" s="94"/>
      <c r="N79" s="94"/>
      <c r="O79" s="94"/>
      <c r="P79" s="94"/>
      <c r="S79" s="88"/>
      <c r="T79" s="79"/>
      <c r="U79" s="79"/>
      <c r="V79" s="79"/>
      <c r="W79" s="79"/>
      <c r="X79" s="79"/>
      <c r="Y79" s="78"/>
      <c r="Z79" s="133"/>
      <c r="AA79" s="93"/>
    </row>
    <row r="80" spans="2:44" ht="17.25" customHeight="1" outlineLevel="1">
      <c r="C80" s="130" t="s">
        <v>400</v>
      </c>
      <c r="D80" s="244">
        <f>IF(D46="d",G69,D57)</f>
        <v>12.330833333333336</v>
      </c>
      <c r="E80" s="245" t="s">
        <v>343</v>
      </c>
      <c r="F80" s="243"/>
      <c r="G80" s="242"/>
      <c r="H80" s="240"/>
      <c r="S80" s="88"/>
      <c r="T80" s="79"/>
      <c r="U80" s="79"/>
      <c r="V80" s="79"/>
      <c r="W80" s="79"/>
      <c r="X80" s="79"/>
      <c r="Y80" s="78"/>
      <c r="Z80" s="133"/>
      <c r="AA80" s="93"/>
    </row>
    <row r="81" spans="3:27" ht="17.25" customHeight="1" outlineLevel="1">
      <c r="C81" s="130" t="s">
        <v>402</v>
      </c>
      <c r="D81" s="251">
        <f>D80/D79*D20*3600*8760*D33/100</f>
        <v>6654919917.3863049</v>
      </c>
      <c r="E81" s="245" t="s">
        <v>338</v>
      </c>
      <c r="F81" s="243"/>
      <c r="G81" s="242"/>
      <c r="H81" s="240"/>
      <c r="L81" s="71"/>
      <c r="M81" s="71"/>
      <c r="N81" s="71"/>
      <c r="O81" s="71"/>
      <c r="P81" s="71"/>
      <c r="S81" s="88"/>
      <c r="T81" s="79"/>
      <c r="U81" s="79"/>
      <c r="V81" s="79"/>
      <c r="W81" s="79"/>
      <c r="X81" s="79"/>
      <c r="Y81" s="78"/>
      <c r="Z81" s="133"/>
      <c r="AA81" s="93"/>
    </row>
    <row r="82" spans="3:27" ht="17.25" customHeight="1" outlineLevel="1">
      <c r="C82" s="130" t="s">
        <v>401</v>
      </c>
      <c r="D82" s="244">
        <f>IF(D46="d",D69,D58)</f>
        <v>10.206733333333336</v>
      </c>
      <c r="E82" s="245" t="s">
        <v>344</v>
      </c>
      <c r="F82" s="246"/>
      <c r="G82" s="242"/>
      <c r="H82" s="240"/>
      <c r="L82" s="71"/>
      <c r="M82" s="71"/>
      <c r="N82" s="71"/>
      <c r="O82" s="71"/>
      <c r="P82" s="71"/>
      <c r="S82" s="88"/>
      <c r="T82" s="79"/>
      <c r="U82" s="79"/>
      <c r="V82" s="79"/>
      <c r="W82" s="79"/>
      <c r="X82" s="79"/>
      <c r="Y82" s="90"/>
      <c r="Z82" s="133"/>
      <c r="AA82" s="93"/>
    </row>
    <row r="83" spans="3:27" ht="17.25" customHeight="1" outlineLevel="1">
      <c r="C83" s="130" t="s">
        <v>403</v>
      </c>
      <c r="D83" s="251">
        <f>D82/D79*D20*3600*8760*D33/100</f>
        <v>5508548458.5889616</v>
      </c>
      <c r="E83" s="245" t="s">
        <v>339</v>
      </c>
      <c r="F83" s="250"/>
      <c r="G83" s="242"/>
      <c r="H83" s="240"/>
      <c r="L83" s="71"/>
      <c r="M83" s="71"/>
      <c r="N83" s="71"/>
      <c r="O83" s="71"/>
      <c r="P83" s="71"/>
      <c r="S83" s="88"/>
      <c r="T83" s="79"/>
      <c r="U83" s="79"/>
      <c r="V83" s="79"/>
      <c r="W83" s="79"/>
      <c r="X83" s="79"/>
      <c r="Y83" s="90"/>
      <c r="Z83" s="133"/>
      <c r="AA83" s="93"/>
    </row>
    <row r="84" spans="3:27" ht="17.25" customHeight="1" outlineLevel="1">
      <c r="C84" s="130" t="s">
        <v>374</v>
      </c>
      <c r="D84" s="306">
        <f>IF(D46="d",100*(D40-1)*J68/D69,D59)</f>
        <v>1.5139172833619647</v>
      </c>
      <c r="E84" s="245" t="s">
        <v>405</v>
      </c>
      <c r="F84" s="246"/>
      <c r="G84" s="242"/>
      <c r="H84" s="240"/>
      <c r="L84" s="71"/>
      <c r="M84" s="71"/>
      <c r="N84" s="71"/>
      <c r="O84" s="71"/>
      <c r="P84" s="71"/>
      <c r="S84" s="88"/>
      <c r="T84" s="79"/>
      <c r="U84" s="79"/>
      <c r="V84" s="79"/>
      <c r="W84" s="79"/>
      <c r="X84" s="79"/>
      <c r="Y84" s="90"/>
      <c r="Z84" s="133"/>
      <c r="AA84" s="93"/>
    </row>
    <row r="85" spans="3:27" ht="17.25" customHeight="1" outlineLevel="1">
      <c r="C85" s="130" t="s">
        <v>375</v>
      </c>
      <c r="D85" s="254">
        <f>(21-G3)/(21-D84)</f>
        <v>0.92373619992030753</v>
      </c>
      <c r="E85" s="245" t="s">
        <v>406</v>
      </c>
      <c r="F85" s="250"/>
      <c r="G85" s="242"/>
      <c r="H85" s="240"/>
      <c r="L85" s="71"/>
      <c r="M85" s="71"/>
      <c r="N85" s="71"/>
      <c r="O85" s="71"/>
      <c r="P85" s="71"/>
      <c r="S85" s="88"/>
      <c r="T85" s="79"/>
      <c r="U85" s="79"/>
      <c r="V85" s="79"/>
      <c r="W85" s="79"/>
      <c r="X85" s="79"/>
      <c r="Y85" s="90"/>
      <c r="Z85" s="133"/>
      <c r="AA85" s="93"/>
    </row>
    <row r="86" spans="3:27" ht="17.25" customHeight="1" outlineLevel="1" thickBot="1">
      <c r="C86" s="155" t="s">
        <v>382</v>
      </c>
      <c r="D86" s="257">
        <f>D24</f>
        <v>600</v>
      </c>
      <c r="E86" s="258" t="s">
        <v>409</v>
      </c>
      <c r="F86" s="252"/>
      <c r="G86" s="242"/>
      <c r="H86" s="240"/>
      <c r="L86" s="71"/>
      <c r="M86" s="71"/>
      <c r="N86" s="71"/>
      <c r="O86" s="71"/>
      <c r="P86" s="71"/>
      <c r="S86" s="88"/>
      <c r="T86" s="79"/>
      <c r="U86" s="79"/>
      <c r="V86" s="79"/>
      <c r="W86" s="79"/>
      <c r="X86" s="79"/>
      <c r="Y86" s="90"/>
      <c r="Z86" s="133"/>
      <c r="AA86" s="93"/>
    </row>
    <row r="87" spans="3:27" ht="17.25" customHeight="1" outlineLevel="1">
      <c r="C87" s="443"/>
      <c r="D87" s="267"/>
      <c r="E87" s="242"/>
      <c r="F87" s="267"/>
      <c r="G87" s="242"/>
      <c r="H87" s="240"/>
      <c r="L87" s="71"/>
      <c r="M87" s="71"/>
      <c r="N87" s="71"/>
      <c r="O87" s="71"/>
      <c r="P87" s="71"/>
      <c r="S87" s="88"/>
      <c r="T87" s="79"/>
      <c r="U87" s="79"/>
      <c r="V87" s="79"/>
      <c r="W87" s="79"/>
      <c r="X87" s="79"/>
      <c r="Y87" s="90"/>
      <c r="Z87" s="133"/>
      <c r="AA87" s="93"/>
    </row>
    <row r="88" spans="3:27" ht="17.25" customHeight="1" outlineLevel="1"/>
    <row r="89" spans="3:27" s="75" customFormat="1" ht="30" customHeight="1"/>
    <row r="90" spans="3:27" s="93" customFormat="1" ht="15.75" customHeight="1">
      <c r="T90" s="97"/>
    </row>
    <row r="91" spans="3:27" s="93" customFormat="1" ht="15.75" customHeight="1">
      <c r="T91" s="97"/>
    </row>
    <row r="92" spans="3:27" s="93" customFormat="1" ht="15.75" customHeight="1">
      <c r="T92" s="97"/>
    </row>
    <row r="93" spans="3:27" s="93" customFormat="1" ht="15.75" customHeight="1">
      <c r="T93" s="97"/>
    </row>
    <row r="94" spans="3:27" s="93" customFormat="1">
      <c r="T94" s="97"/>
    </row>
    <row r="103" spans="20:20">
      <c r="T103" s="72"/>
    </row>
    <row r="104" spans="20:20">
      <c r="T104" s="72"/>
    </row>
    <row r="105" spans="20:20">
      <c r="T105" s="72"/>
    </row>
    <row r="106" spans="20:20">
      <c r="T106" s="72"/>
    </row>
    <row r="114" spans="20:25">
      <c r="T114" s="72"/>
    </row>
    <row r="115" spans="20:25">
      <c r="T115" s="72"/>
    </row>
    <row r="116" spans="20:25">
      <c r="T116" s="72"/>
    </row>
    <row r="117" spans="20:25">
      <c r="U117" s="79"/>
      <c r="V117" s="79"/>
      <c r="W117" s="79"/>
      <c r="X117" s="79"/>
      <c r="Y117" s="79"/>
    </row>
    <row r="118" spans="20:25" ht="15.75" customHeight="1"/>
    <row r="134" spans="21:24" ht="14.25" customHeight="1"/>
    <row r="135" spans="21:24" ht="14.25" customHeight="1"/>
    <row r="136" spans="21:24" ht="15" customHeight="1"/>
    <row r="138" spans="21:24" ht="15">
      <c r="U138" s="136"/>
      <c r="V138" s="136"/>
      <c r="W138" s="136"/>
      <c r="X138" s="88"/>
    </row>
    <row r="139" spans="21:24">
      <c r="U139" s="137"/>
      <c r="V139" s="137"/>
      <c r="W139" s="137"/>
      <c r="X139" s="88"/>
    </row>
    <row r="140" spans="21:24">
      <c r="U140" s="78"/>
      <c r="V140" s="78"/>
      <c r="W140" s="78"/>
      <c r="X140" s="88"/>
    </row>
    <row r="141" spans="21:24">
      <c r="U141" s="78"/>
      <c r="V141" s="78"/>
      <c r="W141" s="78"/>
      <c r="X141" s="88"/>
    </row>
    <row r="142" spans="21:24">
      <c r="U142" s="78"/>
      <c r="V142" s="78"/>
      <c r="W142" s="88"/>
    </row>
    <row r="143" spans="21:24">
      <c r="U143" s="78"/>
      <c r="V143" s="78"/>
      <c r="W143" s="88"/>
    </row>
    <row r="144" spans="21:24">
      <c r="U144" s="78"/>
      <c r="V144" s="78"/>
      <c r="W144" s="88"/>
    </row>
    <row r="145" spans="21:23" ht="15" customHeight="1">
      <c r="U145" s="78"/>
      <c r="V145" s="78"/>
      <c r="W145" s="88"/>
    </row>
    <row r="146" spans="21:23">
      <c r="U146" s="88"/>
      <c r="V146" s="88"/>
      <c r="W146" s="88"/>
    </row>
    <row r="167" ht="14.25" customHeight="1"/>
  </sheetData>
  <mergeCells count="25">
    <mergeCell ref="F78:G78"/>
    <mergeCell ref="C78:E78"/>
    <mergeCell ref="P65:W65"/>
    <mergeCell ref="N65:O66"/>
    <mergeCell ref="C65:K65"/>
    <mergeCell ref="I71:J71"/>
    <mergeCell ref="C39:E39"/>
    <mergeCell ref="N39:O39"/>
    <mergeCell ref="C45:E45"/>
    <mergeCell ref="C51:E51"/>
    <mergeCell ref="C30:E30"/>
    <mergeCell ref="G30:I30"/>
    <mergeCell ref="N30:O30"/>
    <mergeCell ref="C31:C32"/>
    <mergeCell ref="C34:E34"/>
    <mergeCell ref="C25:E25"/>
    <mergeCell ref="F1:K1"/>
    <mergeCell ref="N2:P2"/>
    <mergeCell ref="C8:D8"/>
    <mergeCell ref="E8:F8"/>
    <mergeCell ref="K8:M8"/>
    <mergeCell ref="C7:H7"/>
    <mergeCell ref="G8:H8"/>
    <mergeCell ref="C23:E23"/>
    <mergeCell ref="N21:O21"/>
  </mergeCells>
  <printOptions horizontalCentered="1" verticalCentered="1"/>
  <pageMargins left="0" right="0" top="0" bottom="0" header="0" footer="0"/>
  <pageSetup paperSize="9" scale="43" fitToWidth="2" fitToHeight="2" orientation="landscape" r:id="rId1"/>
  <rowBreaks count="3" manualBreakCount="3">
    <brk id="37" max="21" man="1"/>
    <brk id="88" max="21" man="1"/>
    <brk id="153" max="21" man="1"/>
  </rowBreaks>
  <colBreaks count="2" manualBreakCount="2">
    <brk id="12" max="110" man="1"/>
    <brk id="23" max="202" man="1"/>
  </colBreaks>
</worksheet>
</file>

<file path=xl/worksheets/sheet5.xml><?xml version="1.0" encoding="utf-8"?>
<worksheet xmlns="http://schemas.openxmlformats.org/spreadsheetml/2006/main" xmlns:r="http://schemas.openxmlformats.org/officeDocument/2006/relationships">
  <dimension ref="A2:AD146"/>
  <sheetViews>
    <sheetView topLeftCell="A67" workbookViewId="0">
      <selection activeCell="D108" sqref="D108"/>
    </sheetView>
  </sheetViews>
  <sheetFormatPr baseColWidth="10" defaultRowHeight="15"/>
  <cols>
    <col min="1" max="1" width="11.42578125" style="564"/>
    <col min="2" max="2" width="18.42578125" style="564" customWidth="1"/>
    <col min="3" max="3" width="44.5703125" style="564" customWidth="1"/>
    <col min="4" max="4" width="26.28515625" style="564" bestFit="1" customWidth="1"/>
    <col min="5" max="5" width="11.42578125" style="564"/>
    <col min="6" max="6" width="23" style="564" customWidth="1"/>
    <col min="7" max="7" width="11.42578125" style="564"/>
    <col min="8" max="8" width="19.42578125" style="564" customWidth="1"/>
    <col min="9" max="9" width="8.28515625" style="564" customWidth="1"/>
    <col min="10" max="13" width="11.42578125" style="564"/>
    <col min="14" max="14" width="31.42578125" style="564" customWidth="1"/>
    <col min="15" max="15" width="23.42578125" style="564" customWidth="1"/>
    <col min="16" max="16" width="9.85546875" style="564" customWidth="1"/>
    <col min="17" max="17" width="16.5703125" style="564" customWidth="1"/>
    <col min="18" max="18" width="11.140625" style="564" customWidth="1"/>
    <col min="19" max="19" width="28.7109375" style="564" customWidth="1"/>
    <col min="20" max="16384" width="11.42578125" style="564"/>
  </cols>
  <sheetData>
    <row r="2" spans="1:22" ht="27.75">
      <c r="A2" s="75"/>
      <c r="B2" s="75"/>
      <c r="C2" s="206" t="s">
        <v>272</v>
      </c>
      <c r="D2" s="140"/>
      <c r="E2" s="140"/>
      <c r="F2" s="140"/>
      <c r="G2" s="140"/>
      <c r="H2" s="140"/>
      <c r="I2" s="140"/>
      <c r="J2" s="140"/>
      <c r="K2" s="140"/>
      <c r="L2" s="140"/>
      <c r="M2" s="140"/>
      <c r="N2" s="206" t="s">
        <v>327</v>
      </c>
      <c r="O2" s="140"/>
      <c r="P2" s="140"/>
      <c r="Q2" s="140"/>
      <c r="R2" s="75"/>
      <c r="S2" s="76"/>
      <c r="T2" s="75"/>
      <c r="U2" s="75"/>
      <c r="V2" s="75"/>
    </row>
    <row r="3" spans="1:22" ht="28.5" thickBot="1">
      <c r="A3" s="93"/>
      <c r="B3" s="93"/>
      <c r="C3" s="154"/>
      <c r="D3" s="154"/>
      <c r="E3" s="154"/>
      <c r="F3" s="154"/>
      <c r="G3" s="154"/>
      <c r="H3" s="154"/>
      <c r="I3" s="154"/>
      <c r="J3" s="154"/>
      <c r="K3" s="154"/>
      <c r="L3" s="154"/>
      <c r="M3" s="154"/>
      <c r="N3" s="154"/>
      <c r="O3" s="154"/>
      <c r="P3" s="154"/>
      <c r="Q3" s="154"/>
      <c r="R3" s="154"/>
      <c r="S3" s="93"/>
      <c r="T3" s="97"/>
      <c r="U3" s="93"/>
      <c r="V3" s="93"/>
    </row>
    <row r="4" spans="1:22" ht="27.75">
      <c r="A4" s="93"/>
      <c r="B4" s="93"/>
      <c r="C4" s="1050" t="s">
        <v>273</v>
      </c>
      <c r="D4" s="1051"/>
      <c r="E4" s="1052"/>
      <c r="F4" s="154"/>
      <c r="G4" s="154"/>
      <c r="H4" s="154"/>
      <c r="I4" s="154"/>
      <c r="J4" s="154"/>
      <c r="K4" s="154"/>
      <c r="L4" s="154"/>
      <c r="M4" s="154"/>
      <c r="N4" s="154"/>
      <c r="O4" s="154"/>
      <c r="P4" s="154"/>
      <c r="Q4" s="154"/>
      <c r="R4" s="154"/>
      <c r="S4" s="93"/>
      <c r="T4" s="97"/>
      <c r="U4" s="93"/>
      <c r="V4" s="93"/>
    </row>
    <row r="5" spans="1:22" ht="27.75">
      <c r="A5" s="93"/>
      <c r="B5" s="93"/>
      <c r="C5" s="158" t="s">
        <v>1167</v>
      </c>
      <c r="D5" s="157">
        <v>300</v>
      </c>
      <c r="E5" s="159" t="s">
        <v>409</v>
      </c>
      <c r="F5" s="154"/>
      <c r="G5" s="154"/>
      <c r="H5" s="154"/>
      <c r="I5" s="154"/>
      <c r="J5" s="154"/>
      <c r="K5" s="154"/>
      <c r="L5" s="154"/>
      <c r="M5" s="154"/>
      <c r="N5" s="154"/>
      <c r="O5" s="154"/>
      <c r="P5" s="154"/>
      <c r="Q5" s="154"/>
      <c r="R5" s="154"/>
      <c r="S5" s="93"/>
      <c r="T5" s="97"/>
      <c r="U5" s="93"/>
      <c r="V5" s="93"/>
    </row>
    <row r="6" spans="1:22" ht="27.75">
      <c r="A6" s="93"/>
      <c r="B6" s="93"/>
      <c r="C6" s="158" t="s">
        <v>1168</v>
      </c>
      <c r="D6" s="612">
        <f>D5/'Solid fuels - emission calc.'!J105</f>
        <v>344.38711417309634</v>
      </c>
      <c r="E6" s="159" t="s">
        <v>1021</v>
      </c>
      <c r="F6" s="154"/>
      <c r="G6" s="154"/>
      <c r="H6" s="154"/>
      <c r="I6" s="154"/>
      <c r="J6" s="154"/>
      <c r="K6" s="154"/>
      <c r="L6" s="154"/>
      <c r="M6" s="154"/>
      <c r="N6" s="154"/>
      <c r="O6" s="154"/>
      <c r="P6" s="154"/>
      <c r="Q6" s="154"/>
      <c r="R6" s="154"/>
      <c r="S6" s="93"/>
      <c r="T6" s="97"/>
      <c r="U6" s="93"/>
      <c r="V6" s="93"/>
    </row>
    <row r="7" spans="1:22" ht="28.5" thickBot="1">
      <c r="A7" s="93"/>
      <c r="B7" s="93"/>
      <c r="C7" s="155" t="s">
        <v>274</v>
      </c>
      <c r="D7" s="217">
        <f>1-D5/'Solid fuels - emission calc.'!J107</f>
        <v>0.5</v>
      </c>
      <c r="E7" s="156"/>
      <c r="F7" s="154"/>
      <c r="G7" s="154"/>
      <c r="H7" s="154"/>
      <c r="I7" s="154"/>
      <c r="J7" s="154"/>
      <c r="K7" s="154"/>
      <c r="L7" s="154"/>
      <c r="M7" s="154"/>
      <c r="N7" s="154"/>
      <c r="O7" s="154"/>
      <c r="P7" s="154"/>
      <c r="Q7" s="154"/>
      <c r="R7" s="154"/>
      <c r="S7" s="93"/>
      <c r="T7" s="97"/>
      <c r="U7" s="93"/>
      <c r="V7" s="93"/>
    </row>
    <row r="8" spans="1:22" ht="15.75" thickBot="1">
      <c r="A8" s="93"/>
      <c r="B8" s="93"/>
      <c r="C8" s="93"/>
      <c r="D8" s="93"/>
      <c r="E8" s="93"/>
      <c r="F8" s="93"/>
      <c r="G8" s="93"/>
      <c r="H8" s="93"/>
      <c r="I8" s="93"/>
      <c r="J8" s="93"/>
      <c r="K8" s="93"/>
      <c r="L8" s="93"/>
      <c r="M8" s="93"/>
      <c r="N8" s="97"/>
      <c r="O8" s="97"/>
      <c r="P8" s="97"/>
      <c r="Q8" s="97"/>
      <c r="R8" s="93"/>
      <c r="S8" s="93"/>
      <c r="T8" s="97"/>
      <c r="U8" s="93"/>
      <c r="V8" s="93"/>
    </row>
    <row r="9" spans="1:22">
      <c r="A9" s="71"/>
      <c r="B9" s="71"/>
      <c r="C9" s="1088" t="s">
        <v>111</v>
      </c>
      <c r="D9" s="1089"/>
      <c r="E9" s="1090"/>
      <c r="F9" s="136"/>
      <c r="G9" s="71"/>
      <c r="H9" s="71"/>
      <c r="I9" s="71"/>
      <c r="J9" s="71"/>
      <c r="K9" s="71"/>
      <c r="L9" s="71"/>
      <c r="M9" s="71"/>
      <c r="N9" s="1088" t="s">
        <v>307</v>
      </c>
      <c r="O9" s="1090"/>
      <c r="P9" s="71"/>
      <c r="Q9" s="1088" t="s">
        <v>308</v>
      </c>
      <c r="R9" s="1089"/>
      <c r="S9" s="1090"/>
      <c r="T9" s="71"/>
      <c r="U9" s="71"/>
      <c r="V9" s="71"/>
    </row>
    <row r="10" spans="1:22">
      <c r="A10" s="71"/>
      <c r="B10" s="71"/>
      <c r="C10" s="99" t="s">
        <v>112</v>
      </c>
      <c r="D10" s="98"/>
      <c r="E10" s="109"/>
      <c r="F10" s="88"/>
      <c r="G10" s="71"/>
      <c r="H10" s="71"/>
      <c r="I10" s="71"/>
      <c r="J10" s="71"/>
      <c r="K10" s="71"/>
      <c r="L10" s="71"/>
      <c r="M10" s="71"/>
      <c r="N10" s="1117" t="s">
        <v>21</v>
      </c>
      <c r="O10" s="1119"/>
      <c r="P10" s="71"/>
      <c r="Q10" s="1121" t="s">
        <v>309</v>
      </c>
      <c r="R10" s="1122"/>
      <c r="S10" s="1123"/>
      <c r="T10" s="71"/>
      <c r="U10" s="71"/>
      <c r="V10" s="71"/>
    </row>
    <row r="11" spans="1:22" ht="18.75">
      <c r="A11" s="71"/>
      <c r="B11" s="71"/>
      <c r="C11" s="80" t="s">
        <v>275</v>
      </c>
      <c r="D11" s="147" t="s">
        <v>278</v>
      </c>
      <c r="E11" s="84" t="s">
        <v>63</v>
      </c>
      <c r="F11" s="88"/>
      <c r="G11" s="71"/>
      <c r="H11" s="71"/>
      <c r="I11" s="71"/>
      <c r="J11" s="71"/>
      <c r="K11" s="71"/>
      <c r="L11" s="71"/>
      <c r="M11" s="71"/>
      <c r="N11" s="691" t="s">
        <v>22</v>
      </c>
      <c r="O11" s="692" t="s">
        <v>23</v>
      </c>
      <c r="P11" s="71"/>
      <c r="Q11" s="192" t="s">
        <v>310</v>
      </c>
      <c r="R11" s="193">
        <f>D18</f>
        <v>400</v>
      </c>
      <c r="S11" s="629" t="s">
        <v>409</v>
      </c>
      <c r="T11" s="71"/>
      <c r="U11" s="71"/>
      <c r="V11" s="71"/>
    </row>
    <row r="12" spans="1:22" ht="18.75">
      <c r="A12" s="71"/>
      <c r="B12" s="71"/>
      <c r="C12" s="80" t="s">
        <v>276</v>
      </c>
      <c r="D12" s="179">
        <v>400</v>
      </c>
      <c r="E12" s="159" t="s">
        <v>409</v>
      </c>
      <c r="F12" s="88"/>
      <c r="G12" s="71"/>
      <c r="H12" s="71"/>
      <c r="I12" s="71"/>
      <c r="J12" s="71"/>
      <c r="K12" s="71"/>
      <c r="L12" s="71"/>
      <c r="M12" s="71"/>
      <c r="N12" s="107" t="s">
        <v>24</v>
      </c>
      <c r="O12" s="100">
        <v>0.6</v>
      </c>
      <c r="P12" s="71"/>
      <c r="Q12" s="194" t="s">
        <v>279</v>
      </c>
      <c r="R12" s="689" t="s">
        <v>280</v>
      </c>
      <c r="S12" s="161"/>
      <c r="T12" s="71"/>
      <c r="U12" s="71"/>
      <c r="V12" s="71"/>
    </row>
    <row r="13" spans="1:22" ht="18.75">
      <c r="A13" s="71"/>
      <c r="B13" s="71"/>
      <c r="C13" s="77" t="s">
        <v>61</v>
      </c>
      <c r="D13" s="98">
        <f>IF(D11="y",1-D12/'Solid fuels - emission calc.'!J107,"n/a")</f>
        <v>0.33333333333333337</v>
      </c>
      <c r="E13" s="84"/>
      <c r="F13" s="88"/>
      <c r="G13" s="71"/>
      <c r="H13" s="71"/>
      <c r="I13" s="71"/>
      <c r="J13" s="71"/>
      <c r="K13" s="71"/>
      <c r="L13" s="71"/>
      <c r="M13" s="71"/>
      <c r="N13" s="107" t="s">
        <v>25</v>
      </c>
      <c r="O13" s="100">
        <v>0.55000000000000004</v>
      </c>
      <c r="P13" s="71"/>
      <c r="Q13" s="195">
        <v>0.6</v>
      </c>
      <c r="R13" s="152">
        <f>R$11*(1-Q13)</f>
        <v>160</v>
      </c>
      <c r="S13" s="159" t="s">
        <v>409</v>
      </c>
      <c r="T13" s="71"/>
      <c r="U13" s="71"/>
      <c r="V13" s="71"/>
    </row>
    <row r="14" spans="1:22" ht="18.75">
      <c r="A14" s="71"/>
      <c r="B14" s="71"/>
      <c r="C14" s="77" t="s">
        <v>1169</v>
      </c>
      <c r="D14" s="98">
        <f>IF(D11="y",('Solid fuels - emission calc.'!J107-D12)/('Solid fuels - emission calc.'!J107-D5),"n/a")</f>
        <v>0.66666666666666663</v>
      </c>
      <c r="E14" s="84"/>
      <c r="F14" s="88"/>
      <c r="G14" s="71"/>
      <c r="H14" s="71"/>
      <c r="I14" s="71"/>
      <c r="J14" s="71"/>
      <c r="K14" s="71"/>
      <c r="L14" s="71"/>
      <c r="M14" s="71"/>
      <c r="N14" s="107" t="s">
        <v>26</v>
      </c>
      <c r="O14" s="101">
        <v>0.47499999999999998</v>
      </c>
      <c r="P14" s="71"/>
      <c r="Q14" s="195">
        <v>0.7</v>
      </c>
      <c r="R14" s="152">
        <f>R$11*(1-Q14)</f>
        <v>120.00000000000001</v>
      </c>
      <c r="S14" s="159" t="s">
        <v>409</v>
      </c>
      <c r="T14" s="71"/>
      <c r="U14" s="71"/>
      <c r="V14" s="71"/>
    </row>
    <row r="15" spans="1:22" ht="18.75">
      <c r="A15" s="71"/>
      <c r="B15" s="71"/>
      <c r="C15" s="77" t="s">
        <v>62</v>
      </c>
      <c r="D15" s="218">
        <f>IF(D11="y",1-D5/D12,D7)</f>
        <v>0.25</v>
      </c>
      <c r="E15" s="84"/>
      <c r="F15" s="88"/>
      <c r="G15" s="71"/>
      <c r="H15" s="71"/>
      <c r="I15" s="71"/>
      <c r="J15" s="71"/>
      <c r="K15" s="71"/>
      <c r="L15" s="71"/>
      <c r="M15" s="71"/>
      <c r="N15" s="107" t="s">
        <v>27</v>
      </c>
      <c r="O15" s="100">
        <v>0.4</v>
      </c>
      <c r="P15" s="71"/>
      <c r="Q15" s="195">
        <v>0.8</v>
      </c>
      <c r="R15" s="152">
        <f>R$11*(1-Q15)</f>
        <v>79.999999999999986</v>
      </c>
      <c r="S15" s="159" t="s">
        <v>409</v>
      </c>
      <c r="T15" s="71"/>
      <c r="U15" s="71"/>
      <c r="V15" s="71"/>
    </row>
    <row r="16" spans="1:22" ht="19.5" thickBot="1">
      <c r="A16" s="71"/>
      <c r="B16" s="71"/>
      <c r="C16" s="80"/>
      <c r="D16" s="88"/>
      <c r="E16" s="81"/>
      <c r="F16" s="88"/>
      <c r="G16" s="71"/>
      <c r="H16" s="71"/>
      <c r="I16" s="71"/>
      <c r="J16" s="71"/>
      <c r="K16" s="71"/>
      <c r="L16" s="71"/>
      <c r="M16" s="71"/>
      <c r="N16" s="102" t="s">
        <v>28</v>
      </c>
      <c r="O16" s="103">
        <v>0.35</v>
      </c>
      <c r="P16" s="71"/>
      <c r="Q16" s="196">
        <v>0.9</v>
      </c>
      <c r="R16" s="118">
        <f>R$11*(1-Q16)</f>
        <v>39.999999999999993</v>
      </c>
      <c r="S16" s="156" t="s">
        <v>409</v>
      </c>
      <c r="T16" s="71"/>
      <c r="U16" s="71"/>
      <c r="V16" s="71"/>
    </row>
    <row r="17" spans="1:22">
      <c r="A17" s="71"/>
      <c r="B17" s="71"/>
      <c r="C17" s="1124" t="s">
        <v>116</v>
      </c>
      <c r="D17" s="1125"/>
      <c r="E17" s="1126"/>
      <c r="F17" s="88"/>
      <c r="G17" s="71"/>
      <c r="H17" s="71"/>
      <c r="I17" s="71"/>
      <c r="J17" s="71"/>
      <c r="K17" s="71"/>
      <c r="L17" s="71"/>
      <c r="M17" s="71"/>
      <c r="N17" s="104" t="s">
        <v>135</v>
      </c>
      <c r="O17" s="105" t="s">
        <v>136</v>
      </c>
      <c r="P17" s="71"/>
      <c r="Q17" s="71"/>
      <c r="R17" s="71"/>
      <c r="S17" s="71"/>
      <c r="T17" s="72"/>
      <c r="U17" s="71"/>
      <c r="V17" s="71"/>
    </row>
    <row r="18" spans="1:22" ht="18.75">
      <c r="A18" s="71"/>
      <c r="B18" s="71"/>
      <c r="C18" s="80" t="s">
        <v>1022</v>
      </c>
      <c r="D18" s="152">
        <f>IF(D11="Y",D12,'Solid fuels - emission calc.'!J107)</f>
        <v>400</v>
      </c>
      <c r="E18" s="159" t="s">
        <v>409</v>
      </c>
      <c r="F18" s="88"/>
      <c r="G18" s="71"/>
      <c r="H18" s="71"/>
      <c r="I18" s="71"/>
      <c r="J18" s="71"/>
      <c r="K18" s="71"/>
      <c r="L18" s="71"/>
      <c r="M18" s="71"/>
      <c r="N18" s="106"/>
      <c r="O18" s="105" t="s">
        <v>137</v>
      </c>
      <c r="P18" s="71"/>
      <c r="Q18" s="71"/>
      <c r="R18" s="71"/>
      <c r="S18" s="71"/>
      <c r="T18" s="72"/>
      <c r="U18" s="71"/>
      <c r="V18" s="71"/>
    </row>
    <row r="19" spans="1:22">
      <c r="A19" s="71"/>
      <c r="B19" s="71"/>
      <c r="C19" s="80" t="s">
        <v>1028</v>
      </c>
      <c r="D19" s="160" t="str">
        <f>IF(AND(D15&lt;=O12,'Solid fuels - emission calc.'!D20&lt;=100),"Y",IF(AND(D15&lt;=O13,'Solid fuels - emission calc.'!D20&lt;=300),"Y",IF(AND(D15&lt;=O14,'Solid fuels - emission calc.'!D20&lt;=500),"Y",IF(AND(D15&lt;=O15,'Solid fuels - emission calc.'!D20&lt;=700),"Y",IF(AND(D15&lt;=O16,'Solid fuels - emission calc.'!D20&gt;700),"Y","N")))))</f>
        <v>Y</v>
      </c>
      <c r="E19" s="84" t="s">
        <v>63</v>
      </c>
      <c r="F19" s="81" t="s">
        <v>306</v>
      </c>
      <c r="G19" s="71"/>
      <c r="H19" s="71"/>
      <c r="I19" s="71"/>
      <c r="J19" s="71"/>
      <c r="K19" s="71"/>
      <c r="L19" s="71"/>
      <c r="M19" s="71"/>
      <c r="N19" s="106"/>
      <c r="O19" s="105" t="s">
        <v>138</v>
      </c>
      <c r="P19" s="71"/>
      <c r="Q19" s="71"/>
      <c r="R19" s="71"/>
      <c r="S19" s="71"/>
      <c r="T19" s="72"/>
      <c r="U19" s="71"/>
      <c r="V19" s="71"/>
    </row>
    <row r="20" spans="1:22" ht="18.75">
      <c r="A20" s="71"/>
      <c r="B20" s="71"/>
      <c r="C20" s="80" t="s">
        <v>117</v>
      </c>
      <c r="D20" s="135">
        <v>300</v>
      </c>
      <c r="E20" s="159" t="s">
        <v>409</v>
      </c>
      <c r="F20" s="88"/>
      <c r="G20" s="71"/>
      <c r="H20" s="71"/>
      <c r="I20" s="71"/>
      <c r="J20" s="71"/>
      <c r="K20" s="71"/>
      <c r="L20" s="71"/>
      <c r="M20" s="71"/>
      <c r="N20" s="71"/>
      <c r="O20" s="105" t="s">
        <v>183</v>
      </c>
      <c r="P20" s="71"/>
      <c r="Q20" s="71"/>
      <c r="R20" s="71"/>
      <c r="S20" s="71"/>
      <c r="T20" s="72"/>
      <c r="U20" s="71"/>
      <c r="V20" s="71"/>
    </row>
    <row r="21" spans="1:22">
      <c r="A21" s="71"/>
      <c r="B21" s="71"/>
      <c r="C21" s="80" t="s">
        <v>64</v>
      </c>
      <c r="D21" s="613">
        <f>1-D20/'Solid fuels - emission calc.'!J107</f>
        <v>0.5</v>
      </c>
      <c r="E21" s="109"/>
      <c r="F21" s="88"/>
      <c r="G21" s="71"/>
      <c r="H21" s="71"/>
      <c r="I21" s="71"/>
      <c r="J21" s="71"/>
      <c r="K21" s="71"/>
      <c r="L21" s="71"/>
      <c r="M21" s="71"/>
      <c r="N21" s="71"/>
      <c r="O21" s="72"/>
      <c r="P21" s="72"/>
      <c r="Q21" s="88"/>
      <c r="R21" s="71"/>
      <c r="S21" s="72"/>
      <c r="T21" s="71"/>
      <c r="U21" s="71"/>
      <c r="V21" s="71"/>
    </row>
    <row r="22" spans="1:22" ht="15.75" thickBot="1">
      <c r="A22" s="71"/>
      <c r="B22" s="71"/>
      <c r="C22" s="86" t="s">
        <v>281</v>
      </c>
      <c r="D22" s="219">
        <f>1-D20/D5</f>
        <v>0</v>
      </c>
      <c r="E22" s="85"/>
      <c r="F22" s="402"/>
      <c r="H22" s="71"/>
      <c r="I22" s="71"/>
      <c r="J22" s="71"/>
      <c r="K22" s="71"/>
      <c r="L22" s="71"/>
      <c r="M22" s="71"/>
      <c r="N22" s="71"/>
      <c r="O22" s="72"/>
      <c r="P22" s="72"/>
      <c r="Q22" s="88"/>
      <c r="R22" s="71"/>
      <c r="S22" s="72"/>
      <c r="T22" s="71"/>
      <c r="U22" s="71"/>
      <c r="V22" s="71"/>
    </row>
    <row r="23" spans="1:22" ht="15.75" thickBot="1">
      <c r="A23" s="71"/>
      <c r="B23" s="71"/>
      <c r="C23" s="71"/>
      <c r="D23" s="71"/>
      <c r="E23" s="71"/>
      <c r="F23" s="88"/>
      <c r="G23" s="71"/>
      <c r="H23" s="71"/>
      <c r="I23" s="71"/>
      <c r="J23" s="71"/>
      <c r="K23" s="71"/>
      <c r="L23" s="71"/>
      <c r="M23" s="71"/>
      <c r="N23" s="71"/>
      <c r="O23" s="72"/>
      <c r="P23" s="72"/>
      <c r="Q23" s="88"/>
      <c r="R23" s="71"/>
      <c r="S23" s="72"/>
      <c r="T23" s="71"/>
      <c r="U23" s="71"/>
      <c r="V23" s="71"/>
    </row>
    <row r="24" spans="1:22">
      <c r="A24" s="71"/>
      <c r="B24" s="71"/>
      <c r="C24" s="1127" t="s">
        <v>1026</v>
      </c>
      <c r="D24" s="1128"/>
      <c r="E24" s="1129"/>
      <c r="F24" s="88"/>
      <c r="G24" s="71"/>
      <c r="H24" s="71"/>
      <c r="I24" s="71"/>
      <c r="J24" s="71"/>
      <c r="K24" s="71"/>
      <c r="L24" s="71"/>
      <c r="M24" s="71"/>
      <c r="N24" s="71"/>
      <c r="O24" s="72"/>
      <c r="P24" s="72"/>
      <c r="Q24" s="139"/>
      <c r="R24" s="71"/>
      <c r="S24" s="72"/>
      <c r="T24" s="71"/>
      <c r="U24" s="71"/>
      <c r="V24" s="71"/>
    </row>
    <row r="25" spans="1:22" ht="18.75">
      <c r="A25" s="71"/>
      <c r="B25" s="71"/>
      <c r="C25" s="77" t="s">
        <v>1170</v>
      </c>
      <c r="D25" s="160">
        <f>IF(D26="y",D20,(IF(D27="y",D20,D18)))</f>
        <v>300</v>
      </c>
      <c r="E25" s="159" t="s">
        <v>409</v>
      </c>
      <c r="F25" s="88"/>
      <c r="G25" s="71"/>
      <c r="H25" s="71"/>
      <c r="I25" s="71"/>
      <c r="J25" s="71"/>
      <c r="K25" s="71"/>
      <c r="L25" s="71"/>
      <c r="M25" s="71"/>
      <c r="N25" s="71"/>
      <c r="O25" s="72"/>
      <c r="P25" s="72"/>
      <c r="Q25" s="139"/>
      <c r="R25" s="71"/>
      <c r="S25" s="72"/>
      <c r="T25" s="71"/>
      <c r="U25" s="71"/>
      <c r="V25" s="71"/>
    </row>
    <row r="26" spans="1:22">
      <c r="A26" s="71"/>
      <c r="B26" s="71"/>
      <c r="C26" s="80" t="s">
        <v>1024</v>
      </c>
      <c r="D26" s="147" t="s">
        <v>278</v>
      </c>
      <c r="E26" s="84" t="s">
        <v>63</v>
      </c>
      <c r="F26" s="71"/>
      <c r="G26" s="71"/>
      <c r="H26" s="71"/>
      <c r="I26" s="71"/>
      <c r="J26" s="71"/>
      <c r="K26" s="71"/>
      <c r="L26" s="71"/>
      <c r="M26" s="71"/>
      <c r="N26" s="71"/>
      <c r="O26" s="72"/>
      <c r="P26" s="72"/>
      <c r="Q26" s="88"/>
      <c r="R26" s="71"/>
      <c r="S26" s="72"/>
      <c r="T26" s="71"/>
      <c r="U26" s="71"/>
      <c r="V26" s="71"/>
    </row>
    <row r="27" spans="1:22">
      <c r="A27" s="71"/>
      <c r="B27" s="71"/>
      <c r="C27" s="80" t="s">
        <v>277</v>
      </c>
      <c r="D27" s="147" t="s">
        <v>44</v>
      </c>
      <c r="E27" s="84" t="s">
        <v>63</v>
      </c>
      <c r="F27" s="71"/>
      <c r="G27" s="71"/>
      <c r="H27" s="71"/>
      <c r="I27" s="71"/>
      <c r="J27" s="71"/>
      <c r="K27" s="71"/>
      <c r="L27" s="71"/>
      <c r="M27" s="71"/>
      <c r="N27" s="72"/>
      <c r="O27" s="72"/>
      <c r="P27" s="72"/>
      <c r="Q27" s="88"/>
      <c r="R27" s="71"/>
      <c r="S27" s="72"/>
      <c r="T27" s="71"/>
      <c r="U27" s="71"/>
      <c r="V27" s="71"/>
    </row>
    <row r="28" spans="1:22">
      <c r="A28" s="71"/>
      <c r="B28" s="71"/>
      <c r="C28" s="80" t="s">
        <v>1171</v>
      </c>
      <c r="D28" s="506" t="str">
        <f>IF(AND(D26="y",D27="y"),"N","Y")</f>
        <v>N</v>
      </c>
      <c r="E28" s="81" t="s">
        <v>1025</v>
      </c>
      <c r="F28" s="71"/>
      <c r="G28" s="71"/>
      <c r="H28" s="71"/>
      <c r="I28" s="71"/>
      <c r="J28" s="71"/>
      <c r="K28" s="71"/>
      <c r="L28" s="71"/>
      <c r="M28" s="71"/>
      <c r="N28" s="72"/>
      <c r="O28" s="72"/>
      <c r="P28" s="72"/>
      <c r="Q28" s="88"/>
      <c r="R28" s="71"/>
      <c r="S28" s="72"/>
      <c r="T28" s="71"/>
      <c r="U28" s="71"/>
      <c r="V28" s="71"/>
    </row>
    <row r="29" spans="1:22" ht="15.75" thickBot="1">
      <c r="A29" s="71"/>
      <c r="B29" s="71"/>
      <c r="C29" s="86" t="s">
        <v>1172</v>
      </c>
      <c r="D29" s="614" t="str">
        <f>IF(D20&lt;=D5,"OK","ERROR")</f>
        <v>OK</v>
      </c>
      <c r="E29" s="87" t="s">
        <v>1025</v>
      </c>
      <c r="F29" s="71"/>
      <c r="G29" s="71"/>
      <c r="H29" s="71"/>
      <c r="I29" s="71"/>
      <c r="J29" s="71"/>
      <c r="K29" s="71"/>
      <c r="L29" s="71"/>
      <c r="M29" s="71"/>
      <c r="N29" s="72"/>
      <c r="O29" s="72"/>
      <c r="P29" s="72"/>
      <c r="Q29" s="88"/>
      <c r="R29" s="71"/>
      <c r="S29" s="71"/>
      <c r="T29" s="72"/>
      <c r="U29" s="71"/>
      <c r="V29" s="71"/>
    </row>
    <row r="30" spans="1:22">
      <c r="A30" s="71"/>
      <c r="B30" s="71"/>
      <c r="F30" s="138"/>
      <c r="G30" s="71"/>
      <c r="H30" s="71"/>
      <c r="I30" s="71"/>
      <c r="J30" s="71"/>
      <c r="K30" s="71"/>
      <c r="L30" s="71"/>
      <c r="M30" s="71"/>
      <c r="N30" s="72"/>
      <c r="O30" s="72"/>
      <c r="P30" s="72"/>
      <c r="Q30" s="88"/>
      <c r="R30" s="71"/>
      <c r="S30" s="71"/>
      <c r="T30" s="72"/>
      <c r="U30" s="71"/>
      <c r="V30" s="71"/>
    </row>
    <row r="31" spans="1:22">
      <c r="A31" s="71"/>
      <c r="B31" s="71"/>
      <c r="F31" s="71"/>
      <c r="G31" s="71"/>
      <c r="H31" s="71"/>
      <c r="I31" s="71"/>
      <c r="J31" s="71"/>
      <c r="K31" s="71"/>
      <c r="L31" s="71"/>
      <c r="M31" s="71"/>
      <c r="N31" s="72"/>
      <c r="O31" s="72"/>
      <c r="P31" s="72"/>
      <c r="Q31" s="88"/>
      <c r="R31" s="71"/>
      <c r="S31" s="71"/>
      <c r="T31" s="72"/>
      <c r="U31" s="71"/>
      <c r="V31" s="71"/>
    </row>
    <row r="32" spans="1:22" ht="27.75">
      <c r="A32" s="75"/>
      <c r="B32" s="140"/>
      <c r="C32" s="206" t="s">
        <v>184</v>
      </c>
      <c r="D32" s="140"/>
      <c r="E32" s="140"/>
      <c r="F32" s="140"/>
      <c r="G32" s="140"/>
      <c r="H32" s="140"/>
      <c r="I32" s="140"/>
      <c r="J32" s="140"/>
      <c r="K32" s="140"/>
      <c r="L32" s="140"/>
      <c r="M32" s="140"/>
      <c r="N32" s="206" t="s">
        <v>328</v>
      </c>
      <c r="O32" s="140"/>
      <c r="P32" s="140"/>
      <c r="Q32" s="140"/>
      <c r="R32" s="75"/>
      <c r="S32" s="75"/>
      <c r="T32" s="75"/>
      <c r="U32" s="75"/>
      <c r="V32" s="75"/>
    </row>
    <row r="33" spans="1:22" s="215" customFormat="1" ht="14.25" customHeight="1" thickBot="1">
      <c r="A33" s="71"/>
      <c r="B33" s="71"/>
      <c r="C33" s="71"/>
      <c r="D33" s="71"/>
      <c r="E33" s="71"/>
      <c r="F33" s="71"/>
      <c r="G33" s="71"/>
      <c r="H33" s="71"/>
      <c r="I33" s="71"/>
      <c r="J33" s="71"/>
      <c r="K33" s="71"/>
      <c r="L33" s="72"/>
      <c r="M33" s="72"/>
      <c r="N33" s="72"/>
      <c r="O33" s="72"/>
      <c r="P33" s="72"/>
      <c r="Q33" s="71"/>
      <c r="R33" s="71"/>
      <c r="S33" s="72"/>
      <c r="T33" s="71"/>
      <c r="U33" s="93"/>
      <c r="V33" s="93"/>
    </row>
    <row r="34" spans="1:22" s="215" customFormat="1" ht="14.25" customHeight="1" thickBot="1">
      <c r="A34" s="71"/>
      <c r="B34" s="71"/>
      <c r="C34" s="1114" t="s">
        <v>112</v>
      </c>
      <c r="D34" s="1115"/>
      <c r="E34" s="1116"/>
      <c r="F34" s="71"/>
      <c r="G34" s="89"/>
      <c r="H34" s="71"/>
      <c r="I34" s="71"/>
      <c r="J34" s="71"/>
      <c r="K34" s="71"/>
      <c r="L34" s="71"/>
      <c r="M34" s="136"/>
      <c r="N34" s="1088" t="s">
        <v>299</v>
      </c>
      <c r="O34" s="1089"/>
      <c r="P34" s="1089"/>
      <c r="Q34" s="1090"/>
      <c r="R34" s="136"/>
      <c r="S34" s="71"/>
      <c r="T34" s="71"/>
      <c r="U34" s="93"/>
      <c r="V34" s="93"/>
    </row>
    <row r="35" spans="1:22" s="215" customFormat="1" ht="14.25" customHeight="1">
      <c r="A35" s="71"/>
      <c r="B35" s="71"/>
      <c r="C35" s="80" t="s">
        <v>122</v>
      </c>
      <c r="D35" s="108">
        <f>IF(D11="y",(('Solid fuels - emission calc.'!J107-D12)/'Solid fuels - emission calc.'!J105)*'Solid fuels - emission calc.'!J103/10^9,0)</f>
        <v>2998.0100073879644</v>
      </c>
      <c r="E35" s="142" t="s">
        <v>115</v>
      </c>
      <c r="F35" s="71"/>
      <c r="G35" s="71"/>
      <c r="H35" s="71"/>
      <c r="I35" s="71"/>
      <c r="J35" s="71"/>
      <c r="K35" s="71"/>
      <c r="L35" s="71"/>
      <c r="M35" s="687"/>
      <c r="N35" s="83"/>
      <c r="O35" s="686" t="s">
        <v>218</v>
      </c>
      <c r="P35" s="686" t="s">
        <v>43</v>
      </c>
      <c r="Q35" s="685" t="s">
        <v>334</v>
      </c>
      <c r="R35" s="687"/>
      <c r="S35" s="71"/>
      <c r="T35" s="71"/>
      <c r="U35" s="93"/>
      <c r="V35" s="93"/>
    </row>
    <row r="36" spans="1:22" s="215" customFormat="1" ht="14.25" customHeight="1">
      <c r="A36" s="71"/>
      <c r="B36" s="71"/>
      <c r="C36" s="80" t="s">
        <v>282</v>
      </c>
      <c r="D36" s="179">
        <v>30</v>
      </c>
      <c r="E36" s="142" t="s">
        <v>303</v>
      </c>
      <c r="F36" s="71" t="s">
        <v>304</v>
      </c>
      <c r="G36" s="71"/>
      <c r="H36" s="71"/>
      <c r="I36" s="71"/>
      <c r="J36" s="71"/>
      <c r="K36" s="71"/>
      <c r="L36" s="71"/>
      <c r="M36" s="72"/>
      <c r="N36" s="80" t="s">
        <v>296</v>
      </c>
      <c r="O36" s="188">
        <f>'Solid fuels - NOx Analysis'!C137</f>
        <v>6.3094910624931622</v>
      </c>
      <c r="P36" s="188">
        <f>'Solid fuels - NOx Analysis'!C139</f>
        <v>15.782975223242136</v>
      </c>
      <c r="Q36" s="189">
        <f>'Solid fuels - NOx Analysis'!C138</f>
        <v>48.799716156181965</v>
      </c>
      <c r="R36" s="72"/>
      <c r="S36" s="71"/>
      <c r="T36" s="71"/>
      <c r="U36" s="93"/>
      <c r="V36" s="93"/>
    </row>
    <row r="37" spans="1:22" s="215" customFormat="1" ht="14.25" customHeight="1">
      <c r="A37" s="71"/>
      <c r="B37" s="71"/>
      <c r="C37" s="80" t="s">
        <v>125</v>
      </c>
      <c r="D37" s="108">
        <f>IF(D11="y",D36*'Solid fuels - emission calc.'!D20*1000,"n/a")</f>
        <v>37500000</v>
      </c>
      <c r="E37" s="142" t="s">
        <v>123</v>
      </c>
      <c r="F37" s="71"/>
      <c r="G37" s="71"/>
      <c r="H37" s="71"/>
      <c r="I37" s="71"/>
      <c r="J37" s="71"/>
      <c r="K37" s="71"/>
      <c r="L37" s="71"/>
      <c r="M37" s="72"/>
      <c r="N37" s="80" t="s">
        <v>297</v>
      </c>
      <c r="O37" s="188">
        <f>'Solid fuels - NOx Analysis'!F137</f>
        <v>4.3511577291598282</v>
      </c>
      <c r="P37" s="188">
        <f>'Solid fuels - NOx Analysis'!F139</f>
        <v>11.371398973776099</v>
      </c>
      <c r="Q37" s="189">
        <f>'Solid fuels - NOx Analysis'!F138</f>
        <v>32.147056310742151</v>
      </c>
      <c r="R37" s="72"/>
      <c r="S37" s="71"/>
      <c r="T37" s="71"/>
      <c r="U37" s="93"/>
      <c r="V37" s="93"/>
    </row>
    <row r="38" spans="1:22" s="215" customFormat="1" ht="14.25" customHeight="1" thickBot="1">
      <c r="A38" s="71"/>
      <c r="B38" s="71"/>
      <c r="C38" s="80" t="s">
        <v>34</v>
      </c>
      <c r="D38" s="108">
        <f>IF(D11="y",D37*'Solid fuels - emission calc.'!J5,"n/a")</f>
        <v>3372791.2639114927</v>
      </c>
      <c r="E38" s="142" t="s">
        <v>126</v>
      </c>
      <c r="F38" s="71"/>
      <c r="G38" s="71"/>
      <c r="H38" s="71"/>
      <c r="I38" s="71"/>
      <c r="J38" s="71"/>
      <c r="K38" s="71"/>
      <c r="L38" s="71"/>
      <c r="M38" s="72"/>
      <c r="N38" s="86" t="s">
        <v>298</v>
      </c>
      <c r="O38" s="190">
        <f>'Solid fuels - NOx Analysis'!G137</f>
        <v>8.2678243958264943</v>
      </c>
      <c r="P38" s="190">
        <f>'Solid fuels - NOx Analysis'!G139</f>
        <v>20.194551472708177</v>
      </c>
      <c r="Q38" s="191">
        <f>'Solid fuels - NOx Analysis'!G138</f>
        <v>55.571392888340355</v>
      </c>
      <c r="R38" s="72"/>
      <c r="S38" s="71"/>
      <c r="T38" s="71"/>
      <c r="U38" s="93"/>
      <c r="V38" s="93"/>
    </row>
    <row r="39" spans="1:22" s="215" customFormat="1" ht="14.25" customHeight="1">
      <c r="A39" s="71"/>
      <c r="B39" s="71"/>
      <c r="C39" s="80" t="s">
        <v>30</v>
      </c>
      <c r="D39" s="108">
        <f>IF(D11="y",D37*'Solid fuels - emission calc.'!G4,"n/a")</f>
        <v>750000</v>
      </c>
      <c r="E39" s="142" t="s">
        <v>126</v>
      </c>
      <c r="F39" s="71"/>
      <c r="G39" s="71"/>
      <c r="H39" s="71"/>
      <c r="I39" s="71"/>
      <c r="J39" s="71"/>
      <c r="K39" s="71"/>
      <c r="L39" s="71"/>
      <c r="M39" s="72"/>
      <c r="N39" s="204" t="s">
        <v>318</v>
      </c>
      <c r="O39" s="205">
        <f>'Solid fuels - emission calc.'!D20</f>
        <v>1250</v>
      </c>
      <c r="P39" s="1130" t="s">
        <v>321</v>
      </c>
      <c r="Q39" s="1131"/>
      <c r="R39" s="72"/>
      <c r="S39" s="71"/>
      <c r="T39" s="71"/>
      <c r="U39" s="93"/>
      <c r="V39" s="93"/>
    </row>
    <row r="40" spans="1:22" s="215" customFormat="1" ht="14.25" customHeight="1">
      <c r="A40" s="71"/>
      <c r="B40" s="71"/>
      <c r="C40" s="80"/>
      <c r="D40" s="108"/>
      <c r="E40" s="142"/>
      <c r="F40" s="71"/>
      <c r="G40" s="71"/>
      <c r="H40" s="71"/>
      <c r="I40" s="71"/>
      <c r="J40" s="71"/>
      <c r="K40" s="71"/>
      <c r="L40" s="71"/>
      <c r="M40" s="72"/>
      <c r="N40" s="80" t="s">
        <v>296</v>
      </c>
      <c r="O40" s="188">
        <f t="shared" ref="O40:Q42" si="0">O36*$O$39/1000</f>
        <v>7.8868638281164527</v>
      </c>
      <c r="P40" s="188">
        <f t="shared" si="0"/>
        <v>19.728719029052669</v>
      </c>
      <c r="Q40" s="189">
        <f t="shared" si="0"/>
        <v>60.999645195227458</v>
      </c>
      <c r="R40" s="72"/>
      <c r="S40" s="71"/>
      <c r="T40" s="71"/>
      <c r="U40" s="93"/>
      <c r="V40" s="93"/>
    </row>
    <row r="41" spans="1:22" s="215" customFormat="1" ht="14.25" customHeight="1">
      <c r="A41" s="71"/>
      <c r="B41" s="71"/>
      <c r="C41" s="141" t="s">
        <v>36</v>
      </c>
      <c r="D41" s="606">
        <f>IF(D11="y",D39+D38,"n/a")</f>
        <v>4122791.2639114927</v>
      </c>
      <c r="E41" s="143" t="s">
        <v>126</v>
      </c>
      <c r="F41" s="71"/>
      <c r="G41" s="71"/>
      <c r="H41" s="71"/>
      <c r="I41" s="71"/>
      <c r="J41" s="71"/>
      <c r="K41" s="71"/>
      <c r="L41" s="71"/>
      <c r="M41" s="72"/>
      <c r="N41" s="80" t="s">
        <v>297</v>
      </c>
      <c r="O41" s="188">
        <f t="shared" si="0"/>
        <v>5.4389471614497849</v>
      </c>
      <c r="P41" s="188">
        <f t="shared" si="0"/>
        <v>14.214248717220123</v>
      </c>
      <c r="Q41" s="189">
        <f t="shared" si="0"/>
        <v>40.183820388427691</v>
      </c>
      <c r="R41" s="72"/>
      <c r="S41" s="71"/>
      <c r="T41" s="71"/>
      <c r="U41" s="93"/>
      <c r="V41" s="93"/>
    </row>
    <row r="42" spans="1:22" s="215" customFormat="1" ht="14.25" customHeight="1" thickBot="1">
      <c r="A42" s="71"/>
      <c r="B42" s="71"/>
      <c r="C42" s="165" t="s">
        <v>37</v>
      </c>
      <c r="D42" s="672">
        <f>IF(AND(D11="y",D35&gt;0),D41/D35,"n/a")</f>
        <v>1375.1759512982751</v>
      </c>
      <c r="E42" s="166" t="s">
        <v>38</v>
      </c>
      <c r="F42" s="71"/>
      <c r="G42" s="71"/>
      <c r="H42" s="71"/>
      <c r="I42" s="71"/>
      <c r="J42" s="71"/>
      <c r="K42" s="71"/>
      <c r="L42" s="71"/>
      <c r="M42" s="72"/>
      <c r="N42" s="80" t="s">
        <v>298</v>
      </c>
      <c r="O42" s="188">
        <f t="shared" si="0"/>
        <v>10.334780494783118</v>
      </c>
      <c r="P42" s="188">
        <f t="shared" si="0"/>
        <v>25.243189340885223</v>
      </c>
      <c r="Q42" s="189">
        <f t="shared" si="0"/>
        <v>69.464241110425448</v>
      </c>
      <c r="R42" s="72"/>
      <c r="S42" s="71"/>
      <c r="T42" s="71"/>
      <c r="U42" s="93"/>
      <c r="V42" s="93"/>
    </row>
    <row r="43" spans="1:22" s="215" customFormat="1" ht="14.25" customHeight="1">
      <c r="A43" s="71"/>
      <c r="B43" s="71"/>
      <c r="C43" s="71"/>
      <c r="D43" s="71"/>
      <c r="E43" s="71"/>
      <c r="F43" s="71"/>
      <c r="G43" s="71"/>
      <c r="H43" s="71"/>
      <c r="I43" s="71"/>
      <c r="J43" s="71"/>
      <c r="K43" s="71"/>
      <c r="L43" s="71"/>
      <c r="M43" s="72"/>
      <c r="N43" s="80" t="s">
        <v>320</v>
      </c>
      <c r="O43" s="188" t="s">
        <v>300</v>
      </c>
      <c r="P43" s="188" t="s">
        <v>300</v>
      </c>
      <c r="Q43" s="189">
        <f>Q44*(1+'Solid fuels - NOx Analysis'!E146)</f>
        <v>25.143090586145643</v>
      </c>
      <c r="R43" s="72"/>
      <c r="S43" s="71"/>
      <c r="T43" s="71"/>
      <c r="U43" s="93"/>
      <c r="V43" s="93"/>
    </row>
    <row r="44" spans="1:22" s="215" customFormat="1" ht="14.25" customHeight="1" thickBot="1">
      <c r="A44" s="71"/>
      <c r="B44" s="71"/>
      <c r="C44" s="71"/>
      <c r="D44" s="71"/>
      <c r="E44" s="71"/>
      <c r="F44" s="71"/>
      <c r="G44" s="71"/>
      <c r="H44" s="71"/>
      <c r="I44" s="71"/>
      <c r="J44" s="71"/>
      <c r="K44" s="71"/>
      <c r="L44" s="71"/>
      <c r="M44" s="72"/>
      <c r="N44" s="86" t="s">
        <v>319</v>
      </c>
      <c r="O44" s="190">
        <f>(O39*1000*'Solid fuels - NOx Analysis'!D145+1000*'Solid fuels - NOx Analysis'!C145)/10^6*'Solid fuels - NOx Analysis'!F145</f>
        <v>4.8462293834052259</v>
      </c>
      <c r="P44" s="190" t="s">
        <v>300</v>
      </c>
      <c r="Q44" s="191">
        <f>(O39*1000*'Solid fuels - NOx Analysis'!D146+'Solid fuels - NOx Analysis'!C146*1000)/10^6*'Solid fuels - NOx Analysis'!F146</f>
        <v>17.959350418675459</v>
      </c>
      <c r="R44" s="72"/>
      <c r="S44" s="71"/>
      <c r="T44" s="71"/>
      <c r="U44" s="93"/>
      <c r="V44" s="93"/>
    </row>
    <row r="45" spans="1:22" s="215" customFormat="1" ht="14.25" customHeight="1" thickBot="1">
      <c r="A45" s="71"/>
      <c r="B45" s="71"/>
      <c r="C45" s="1114" t="s">
        <v>283</v>
      </c>
      <c r="D45" s="1115"/>
      <c r="E45" s="1116"/>
      <c r="F45" s="71"/>
      <c r="G45" s="71"/>
      <c r="H45" s="71"/>
      <c r="I45" s="71"/>
      <c r="J45" s="71"/>
      <c r="K45" s="71"/>
      <c r="L45" s="71"/>
      <c r="M45" s="72"/>
      <c r="N45" s="71"/>
      <c r="O45" s="71"/>
      <c r="P45" s="71"/>
      <c r="Q45" s="72"/>
      <c r="R45" s="72"/>
      <c r="S45" s="71"/>
      <c r="T45" s="71"/>
      <c r="U45" s="93"/>
      <c r="V45" s="93"/>
    </row>
    <row r="46" spans="1:22" s="215" customFormat="1" ht="14.25" customHeight="1">
      <c r="A46" s="71"/>
      <c r="B46" s="71"/>
      <c r="C46" s="113" t="s">
        <v>43</v>
      </c>
      <c r="D46" s="152" t="str">
        <f>D27</f>
        <v>y</v>
      </c>
      <c r="E46" s="84"/>
      <c r="F46" s="71"/>
      <c r="G46" s="71"/>
      <c r="H46" s="71"/>
      <c r="I46" s="71"/>
      <c r="J46" s="71"/>
      <c r="K46" s="71"/>
      <c r="L46" s="71"/>
      <c r="M46" s="72"/>
      <c r="Q46" s="72"/>
      <c r="R46" s="72"/>
      <c r="S46" s="71"/>
      <c r="T46" s="71"/>
      <c r="U46" s="93"/>
      <c r="V46" s="93"/>
    </row>
    <row r="47" spans="1:22" s="215" customFormat="1" ht="14.25" customHeight="1">
      <c r="A47" s="71"/>
      <c r="B47" s="71"/>
      <c r="C47" s="148" t="s">
        <v>122</v>
      </c>
      <c r="D47" s="580">
        <f>IF(D46="Y",D102,"n/a")</f>
        <v>1499.0050036939822</v>
      </c>
      <c r="E47" s="115" t="s">
        <v>115</v>
      </c>
      <c r="F47" s="71"/>
      <c r="G47" s="71"/>
      <c r="H47" s="71"/>
      <c r="I47" s="71"/>
      <c r="J47" s="71"/>
      <c r="K47" s="71"/>
      <c r="L47" s="71"/>
      <c r="M47" s="72"/>
      <c r="Q47" s="72"/>
      <c r="R47" s="72"/>
      <c r="S47" s="71"/>
      <c r="T47" s="71"/>
      <c r="U47" s="93"/>
      <c r="V47" s="93"/>
    </row>
    <row r="48" spans="1:22" s="215" customFormat="1" ht="14.25" customHeight="1">
      <c r="A48" s="71"/>
      <c r="B48" s="71"/>
      <c r="C48" s="1100" t="s">
        <v>58</v>
      </c>
      <c r="D48" s="1101"/>
      <c r="E48" s="1102"/>
      <c r="F48" s="71"/>
      <c r="G48" s="71"/>
      <c r="H48" s="71"/>
      <c r="I48" s="71"/>
      <c r="J48" s="71"/>
      <c r="K48" s="71"/>
      <c r="L48" s="71"/>
      <c r="M48" s="72"/>
      <c r="Q48" s="72"/>
      <c r="R48" s="72"/>
      <c r="S48" s="71"/>
      <c r="T48" s="71"/>
      <c r="U48" s="93"/>
      <c r="V48" s="93"/>
    </row>
    <row r="49" spans="1:22" s="215" customFormat="1" ht="14.25" customHeight="1">
      <c r="A49" s="71"/>
      <c r="B49" s="71"/>
      <c r="C49" s="148" t="s">
        <v>124</v>
      </c>
      <c r="D49" s="671">
        <v>16</v>
      </c>
      <c r="E49" s="115" t="s">
        <v>303</v>
      </c>
      <c r="F49" s="71" t="s">
        <v>304</v>
      </c>
      <c r="G49" s="71"/>
      <c r="H49" s="71"/>
      <c r="I49" s="71"/>
      <c r="J49" s="71"/>
      <c r="K49" s="71"/>
      <c r="L49" s="71"/>
      <c r="M49" s="72"/>
      <c r="Q49" s="72"/>
      <c r="R49" s="72"/>
      <c r="S49" s="71"/>
      <c r="T49" s="71"/>
      <c r="U49" s="93"/>
      <c r="V49" s="93"/>
    </row>
    <row r="50" spans="1:22" s="215" customFormat="1" ht="14.25" customHeight="1">
      <c r="A50" s="71"/>
      <c r="B50" s="71"/>
      <c r="C50" s="148" t="s">
        <v>125</v>
      </c>
      <c r="D50" s="580">
        <f>IF(D46="Y",D49*'Solid fuels - emission calc.'!D20*1000,0)</f>
        <v>20000000</v>
      </c>
      <c r="E50" s="115" t="s">
        <v>123</v>
      </c>
      <c r="F50" s="71"/>
      <c r="G50" s="71"/>
      <c r="H50" s="71"/>
      <c r="I50" s="71"/>
      <c r="J50" s="71"/>
      <c r="K50" s="71"/>
      <c r="L50" s="71"/>
      <c r="M50" s="72"/>
      <c r="Q50" s="72"/>
      <c r="R50" s="72"/>
      <c r="S50" s="71"/>
      <c r="T50" s="71"/>
      <c r="U50" s="93"/>
      <c r="V50" s="93"/>
    </row>
    <row r="51" spans="1:22" s="215" customFormat="1" ht="14.25" customHeight="1" thickBot="1">
      <c r="A51" s="71"/>
      <c r="B51" s="71"/>
      <c r="C51" s="148" t="s">
        <v>34</v>
      </c>
      <c r="D51" s="580">
        <f>D50*'Solid fuels - emission calc.'!J5</f>
        <v>1798822.0074194628</v>
      </c>
      <c r="E51" s="115" t="s">
        <v>126</v>
      </c>
      <c r="F51" s="71"/>
      <c r="G51" s="71"/>
      <c r="H51" s="71"/>
      <c r="I51" s="71"/>
      <c r="J51" s="71"/>
      <c r="K51" s="71"/>
      <c r="L51" s="71"/>
      <c r="M51" s="72"/>
      <c r="N51" s="71"/>
      <c r="O51" s="71"/>
      <c r="P51" s="71"/>
      <c r="Q51" s="72"/>
      <c r="R51" s="72"/>
      <c r="S51" s="71"/>
      <c r="T51" s="71"/>
      <c r="U51" s="93"/>
      <c r="V51" s="93"/>
    </row>
    <row r="52" spans="1:22" s="215" customFormat="1" ht="14.25" customHeight="1">
      <c r="A52" s="71"/>
      <c r="B52" s="71"/>
      <c r="C52" s="1100" t="s">
        <v>33</v>
      </c>
      <c r="D52" s="1101"/>
      <c r="E52" s="1102"/>
      <c r="F52" s="71"/>
      <c r="G52" s="71"/>
      <c r="H52" s="71"/>
      <c r="I52" s="71"/>
      <c r="J52" s="71"/>
      <c r="K52" s="71"/>
      <c r="L52" s="71"/>
      <c r="M52" s="72"/>
      <c r="N52" s="1103" t="s">
        <v>291</v>
      </c>
      <c r="O52" s="1104"/>
      <c r="P52" s="1104"/>
      <c r="Q52" s="1104"/>
      <c r="R52" s="1105"/>
      <c r="S52" s="71"/>
      <c r="T52" s="71"/>
      <c r="U52" s="93"/>
      <c r="V52" s="93"/>
    </row>
    <row r="53" spans="1:22" s="215" customFormat="1" ht="14.25" customHeight="1">
      <c r="A53" s="71"/>
      <c r="B53" s="71"/>
      <c r="C53" s="148" t="s">
        <v>30</v>
      </c>
      <c r="D53" s="580">
        <f>D50*'Solid fuels - emission calc.'!G4</f>
        <v>400000</v>
      </c>
      <c r="E53" s="115" t="s">
        <v>126</v>
      </c>
      <c r="F53" s="71"/>
      <c r="G53" s="71"/>
      <c r="H53" s="71"/>
      <c r="I53" s="71"/>
      <c r="J53" s="71"/>
      <c r="K53" s="71"/>
      <c r="L53" s="71"/>
      <c r="M53" s="207"/>
      <c r="N53" s="1106"/>
      <c r="O53" s="1107"/>
      <c r="P53" s="1107"/>
      <c r="Q53" s="1107"/>
      <c r="R53" s="1108"/>
      <c r="S53" s="71"/>
      <c r="T53" s="71"/>
      <c r="U53" s="93"/>
      <c r="V53" s="93"/>
    </row>
    <row r="54" spans="1:22" s="215" customFormat="1" ht="14.25" customHeight="1">
      <c r="A54" s="71"/>
      <c r="B54" s="71"/>
      <c r="C54" s="148" t="s">
        <v>1027</v>
      </c>
      <c r="D54" s="135" t="s">
        <v>44</v>
      </c>
      <c r="E54" s="115"/>
      <c r="F54" s="71"/>
      <c r="G54" s="71"/>
      <c r="H54" s="71"/>
      <c r="I54" s="71"/>
      <c r="J54" s="71"/>
      <c r="K54" s="71"/>
      <c r="L54" s="71"/>
      <c r="M54" s="207"/>
      <c r="N54" s="1109" t="s">
        <v>287</v>
      </c>
      <c r="O54" s="1110"/>
      <c r="P54" s="688"/>
      <c r="Q54" s="88"/>
      <c r="R54" s="81"/>
      <c r="S54" s="71"/>
      <c r="T54" s="71"/>
      <c r="U54" s="93"/>
      <c r="V54" s="93"/>
    </row>
    <row r="55" spans="1:22" s="215" customFormat="1" ht="14.25" customHeight="1">
      <c r="A55" s="71"/>
      <c r="B55" s="71"/>
      <c r="C55" s="148" t="s">
        <v>41</v>
      </c>
      <c r="D55" s="114" t="str">
        <f>IF(D54="Y","N","Y")</f>
        <v>N</v>
      </c>
      <c r="E55" s="115"/>
      <c r="F55" s="71"/>
      <c r="G55" s="71"/>
      <c r="H55" s="71"/>
      <c r="I55" s="71"/>
      <c r="J55" s="71"/>
      <c r="K55" s="71"/>
      <c r="L55" s="71"/>
      <c r="M55" s="79"/>
      <c r="N55" s="80" t="s">
        <v>139</v>
      </c>
      <c r="O55" s="694" t="s">
        <v>185</v>
      </c>
      <c r="P55" s="88"/>
      <c r="Q55" s="88"/>
      <c r="R55" s="81"/>
      <c r="S55" s="71"/>
      <c r="T55" s="71"/>
      <c r="U55" s="93"/>
      <c r="V55" s="93"/>
    </row>
    <row r="56" spans="1:22" s="215" customFormat="1" ht="14.25" customHeight="1">
      <c r="A56" s="71"/>
      <c r="B56" s="71"/>
      <c r="C56" s="148" t="s">
        <v>332</v>
      </c>
      <c r="D56" s="168">
        <f>O74</f>
        <v>1.75</v>
      </c>
      <c r="E56" s="115"/>
      <c r="F56" s="1053" t="s">
        <v>305</v>
      </c>
      <c r="G56" s="71"/>
      <c r="H56" s="71"/>
      <c r="I56" s="71"/>
      <c r="J56" s="71"/>
      <c r="K56" s="71"/>
      <c r="L56" s="71"/>
      <c r="M56" s="79"/>
      <c r="N56" s="80" t="s">
        <v>43</v>
      </c>
      <c r="O56" s="694" t="s">
        <v>140</v>
      </c>
      <c r="P56" s="88"/>
      <c r="Q56" s="88"/>
      <c r="R56" s="81"/>
      <c r="S56" s="71"/>
      <c r="T56" s="71"/>
      <c r="U56" s="93"/>
      <c r="V56" s="93"/>
    </row>
    <row r="57" spans="1:22" s="215" customFormat="1" ht="14.25" customHeight="1">
      <c r="A57" s="71"/>
      <c r="B57" s="71"/>
      <c r="C57" s="148" t="s">
        <v>50</v>
      </c>
      <c r="D57" s="580">
        <f>IF(D46="Y",IF(D55="N",D47/'Solid fuels - emission calc.'!$F10*'Solid fuels - emission calc.'!$F12*D56,D47/'Solid fuels - emission calc.'!$F10*'Solid fuels - emission calc.'!$F13*D56/2),0)</f>
        <v>1013.531792270363</v>
      </c>
      <c r="E57" s="115" t="s">
        <v>115</v>
      </c>
      <c r="F57" s="1053"/>
      <c r="G57" s="71"/>
      <c r="H57" s="71"/>
      <c r="I57" s="71"/>
      <c r="J57" s="71"/>
      <c r="K57" s="71"/>
      <c r="L57" s="71"/>
      <c r="M57" s="79"/>
      <c r="N57" s="1109" t="s">
        <v>262</v>
      </c>
      <c r="O57" s="1110"/>
      <c r="P57" s="1110"/>
      <c r="Q57" s="88"/>
      <c r="R57" s="81"/>
      <c r="S57" s="71"/>
      <c r="T57" s="71"/>
      <c r="U57" s="93"/>
      <c r="V57" s="93"/>
    </row>
    <row r="58" spans="1:22" s="215" customFormat="1" ht="14.25" customHeight="1">
      <c r="A58" s="71"/>
      <c r="B58" s="71"/>
      <c r="C58" s="148" t="s">
        <v>49</v>
      </c>
      <c r="D58" s="580">
        <f>IF(D54="Y",'Solid fuels - emission calc.'!$K31,'Solid fuels - emission calc.'!$K32)*D57</f>
        <v>456089.30652166333</v>
      </c>
      <c r="E58" s="115" t="s">
        <v>126</v>
      </c>
      <c r="F58" s="1053"/>
      <c r="G58" s="71"/>
      <c r="H58" s="71"/>
      <c r="I58" s="71"/>
      <c r="J58" s="71"/>
      <c r="K58" s="71"/>
      <c r="L58" s="71"/>
      <c r="M58" s="79"/>
      <c r="N58" s="80" t="s">
        <v>17</v>
      </c>
      <c r="O58" s="694">
        <v>1.5</v>
      </c>
      <c r="P58" s="88" t="s">
        <v>16</v>
      </c>
      <c r="Q58" s="72"/>
      <c r="R58" s="81"/>
      <c r="S58" s="71"/>
      <c r="T58" s="694"/>
      <c r="U58" s="93"/>
      <c r="V58" s="93"/>
    </row>
    <row r="59" spans="1:22" s="215" customFormat="1" ht="14.25" customHeight="1">
      <c r="A59" s="71"/>
      <c r="B59" s="71"/>
      <c r="C59" s="119" t="s">
        <v>54</v>
      </c>
      <c r="D59" s="1002">
        <v>0.1</v>
      </c>
      <c r="E59" s="115" t="s">
        <v>52</v>
      </c>
      <c r="F59" s="1053"/>
      <c r="G59" s="71"/>
      <c r="H59" s="71"/>
      <c r="I59" s="71"/>
      <c r="J59" s="71"/>
      <c r="K59" s="71"/>
      <c r="L59" s="71"/>
      <c r="M59" s="79"/>
      <c r="N59" s="80" t="s">
        <v>18</v>
      </c>
      <c r="O59" s="694">
        <v>2.5</v>
      </c>
      <c r="P59" s="88" t="s">
        <v>16</v>
      </c>
      <c r="Q59" s="72"/>
      <c r="R59" s="81"/>
      <c r="S59" s="71"/>
      <c r="T59" s="79"/>
      <c r="U59" s="93"/>
      <c r="V59" s="93"/>
    </row>
    <row r="60" spans="1:22" s="215" customFormat="1" ht="14.25" customHeight="1">
      <c r="A60" s="71"/>
      <c r="B60" s="71"/>
      <c r="C60" s="119" t="s">
        <v>53</v>
      </c>
      <c r="D60" s="580">
        <f>IF(D46="y",D59*'Solid fuels - emission calc.'!K33*'Solid fuels - emission calc.'!G33*8760/100,0)</f>
        <v>52560</v>
      </c>
      <c r="E60" s="117" t="s">
        <v>126</v>
      </c>
      <c r="F60" s="1053"/>
      <c r="G60" s="71"/>
      <c r="H60" s="71"/>
      <c r="I60" s="71"/>
      <c r="J60" s="71"/>
      <c r="K60" s="71"/>
      <c r="L60" s="71"/>
      <c r="M60" s="79"/>
      <c r="N60" s="80" t="s">
        <v>261</v>
      </c>
      <c r="O60" s="694">
        <v>1.5</v>
      </c>
      <c r="P60" s="88" t="s">
        <v>16</v>
      </c>
      <c r="Q60" s="72"/>
      <c r="R60" s="81"/>
      <c r="S60" s="71"/>
      <c r="T60" s="694"/>
      <c r="U60" s="93"/>
      <c r="V60" s="93"/>
    </row>
    <row r="61" spans="1:22" s="215" customFormat="1" ht="14.25" customHeight="1">
      <c r="A61" s="71"/>
      <c r="B61" s="71"/>
      <c r="C61" s="119" t="s">
        <v>51</v>
      </c>
      <c r="D61" s="169">
        <f>'Solid fuels - emission calc.'!K34*O78</f>
        <v>6.2100000000000002E-2</v>
      </c>
      <c r="E61" s="117" t="s">
        <v>55</v>
      </c>
      <c r="F61" s="1053"/>
      <c r="G61" s="71"/>
      <c r="H61" s="71"/>
      <c r="I61" s="71"/>
      <c r="J61" s="71"/>
      <c r="K61" s="71"/>
      <c r="L61" s="71"/>
      <c r="M61" s="79"/>
      <c r="N61" s="80"/>
      <c r="O61" s="88"/>
      <c r="P61" s="88"/>
      <c r="Q61" s="88"/>
      <c r="R61" s="81"/>
      <c r="S61" s="71"/>
      <c r="T61" s="694"/>
      <c r="U61" s="93"/>
      <c r="V61" s="93"/>
    </row>
    <row r="62" spans="1:22" s="215" customFormat="1" ht="14.25" customHeight="1">
      <c r="A62" s="71"/>
      <c r="B62" s="71"/>
      <c r="C62" s="148" t="s">
        <v>56</v>
      </c>
      <c r="D62" s="580">
        <f>IF(D46="y",D61*'Solid fuels - emission calc.'!K33*'Solid fuels - emission calc.'!D101*O78/10^6,0)</f>
        <v>77980.775327330863</v>
      </c>
      <c r="E62" s="115" t="s">
        <v>126</v>
      </c>
      <c r="F62" s="1053"/>
      <c r="G62" s="71"/>
      <c r="H62" s="71"/>
      <c r="I62" s="71"/>
      <c r="J62" s="71"/>
      <c r="K62" s="71"/>
      <c r="L62" s="71"/>
      <c r="M62" s="79"/>
      <c r="N62" s="1111" t="s">
        <v>292</v>
      </c>
      <c r="O62" s="1112"/>
      <c r="P62" s="1112"/>
      <c r="Q62" s="1112"/>
      <c r="R62" s="1113"/>
      <c r="S62" s="71"/>
      <c r="T62" s="88"/>
      <c r="U62" s="93"/>
      <c r="V62" s="93"/>
    </row>
    <row r="63" spans="1:22" s="215" customFormat="1" ht="14.25" customHeight="1">
      <c r="A63" s="71"/>
      <c r="B63" s="71"/>
      <c r="C63" s="148"/>
      <c r="D63" s="167"/>
      <c r="E63" s="115"/>
      <c r="F63" s="71"/>
      <c r="G63" s="71"/>
      <c r="H63" s="71"/>
      <c r="I63" s="71"/>
      <c r="J63" s="71"/>
      <c r="K63" s="71"/>
      <c r="L63" s="71"/>
      <c r="M63" s="131"/>
      <c r="N63" s="83"/>
      <c r="O63" s="689" t="s">
        <v>143</v>
      </c>
      <c r="P63" s="689" t="s">
        <v>144</v>
      </c>
      <c r="Q63" s="689" t="s">
        <v>145</v>
      </c>
      <c r="R63" s="690" t="s">
        <v>288</v>
      </c>
      <c r="S63" s="71"/>
      <c r="T63" s="71"/>
      <c r="U63" s="93"/>
      <c r="V63" s="93"/>
    </row>
    <row r="64" spans="1:22" s="215" customFormat="1" ht="14.25" customHeight="1">
      <c r="A64" s="71"/>
      <c r="B64" s="71"/>
      <c r="C64" s="149" t="s">
        <v>294</v>
      </c>
      <c r="D64" s="216">
        <f>D62+D60+D58+D53</f>
        <v>986630.08184899413</v>
      </c>
      <c r="E64" s="150" t="s">
        <v>126</v>
      </c>
      <c r="F64" s="71"/>
      <c r="G64" s="71"/>
      <c r="H64" s="71"/>
      <c r="I64" s="71"/>
      <c r="J64" s="71"/>
      <c r="K64" s="71"/>
      <c r="L64" s="71"/>
      <c r="M64" s="694"/>
      <c r="N64" s="119" t="s">
        <v>146</v>
      </c>
      <c r="O64" s="694">
        <v>0.5</v>
      </c>
      <c r="P64" s="694">
        <v>0.59</v>
      </c>
      <c r="Q64" s="152" t="s">
        <v>147</v>
      </c>
      <c r="R64" s="109">
        <v>2</v>
      </c>
      <c r="S64" s="71"/>
      <c r="T64" s="71"/>
      <c r="U64" s="93"/>
      <c r="V64" s="93"/>
    </row>
    <row r="65" spans="1:22" s="215" customFormat="1" ht="14.25" customHeight="1">
      <c r="A65" s="71"/>
      <c r="B65" s="71"/>
      <c r="C65" s="149" t="s">
        <v>36</v>
      </c>
      <c r="D65" s="216">
        <f>D64+D51</f>
        <v>2785452.0892684571</v>
      </c>
      <c r="E65" s="150" t="s">
        <v>126</v>
      </c>
      <c r="F65" s="71"/>
      <c r="G65" s="71"/>
      <c r="H65" s="71"/>
      <c r="I65" s="71"/>
      <c r="J65" s="71"/>
      <c r="K65" s="71"/>
      <c r="L65" s="71"/>
      <c r="M65" s="152"/>
      <c r="N65" s="80" t="s">
        <v>148</v>
      </c>
      <c r="O65" s="175">
        <v>24000</v>
      </c>
      <c r="P65" s="175">
        <v>36000</v>
      </c>
      <c r="Q65" s="152" t="s">
        <v>149</v>
      </c>
      <c r="R65" s="109">
        <v>2</v>
      </c>
      <c r="S65" s="71"/>
      <c r="T65" s="71"/>
      <c r="U65" s="93"/>
      <c r="V65" s="93"/>
    </row>
    <row r="66" spans="1:22" s="215" customFormat="1" ht="14.25" customHeight="1">
      <c r="A66" s="71"/>
      <c r="B66" s="71"/>
      <c r="C66" s="149" t="s">
        <v>57</v>
      </c>
      <c r="D66" s="170">
        <f>IF(D46="y",D65/D47,"n/a")</f>
        <v>1858.2006613749099</v>
      </c>
      <c r="E66" s="150" t="s">
        <v>38</v>
      </c>
      <c r="F66" s="71"/>
      <c r="G66" s="71"/>
      <c r="H66" s="71"/>
      <c r="I66" s="71"/>
      <c r="J66" s="71"/>
      <c r="K66" s="71"/>
      <c r="L66" s="71"/>
      <c r="M66" s="152"/>
      <c r="N66" s="113" t="s">
        <v>150</v>
      </c>
      <c r="O66" s="694">
        <v>0</v>
      </c>
      <c r="P66" s="694">
        <v>3</v>
      </c>
      <c r="Q66" s="88"/>
      <c r="R66" s="109">
        <v>3</v>
      </c>
      <c r="S66" s="71"/>
      <c r="T66" s="71"/>
      <c r="U66" s="93"/>
      <c r="V66" s="93"/>
    </row>
    <row r="67" spans="1:22" s="215" customFormat="1" ht="14.25" customHeight="1">
      <c r="A67" s="71"/>
      <c r="B67" s="71"/>
      <c r="C67" s="141" t="s">
        <v>285</v>
      </c>
      <c r="D67" s="171">
        <f>IF(D$65&gt;0,D51/D$65,"n/a")</f>
        <v>0.64579176010594641</v>
      </c>
      <c r="E67" s="150"/>
      <c r="F67" s="71"/>
      <c r="G67" s="71"/>
      <c r="H67" s="71"/>
      <c r="I67" s="71"/>
      <c r="J67" s="71"/>
      <c r="K67" s="71"/>
      <c r="L67" s="71"/>
      <c r="M67" s="152"/>
      <c r="N67" s="119" t="s">
        <v>151</v>
      </c>
      <c r="O67" s="175">
        <v>4000</v>
      </c>
      <c r="P67" s="175">
        <v>5000</v>
      </c>
      <c r="Q67" s="152" t="s">
        <v>152</v>
      </c>
      <c r="R67" s="109">
        <v>2</v>
      </c>
      <c r="S67" s="71"/>
      <c r="T67" s="71"/>
      <c r="U67" s="93"/>
      <c r="V67" s="93"/>
    </row>
    <row r="68" spans="1:22" s="215" customFormat="1" ht="14.25" customHeight="1" thickBot="1">
      <c r="A68" s="71"/>
      <c r="B68" s="71"/>
      <c r="C68" s="165" t="s">
        <v>286</v>
      </c>
      <c r="D68" s="172">
        <f>IF(D$65&gt;0,D64/D$65,"n/a")</f>
        <v>0.35420823989405348</v>
      </c>
      <c r="E68" s="151"/>
      <c r="F68" s="71"/>
      <c r="G68" s="71"/>
      <c r="H68" s="71"/>
      <c r="I68" s="71"/>
      <c r="J68" s="71"/>
      <c r="K68" s="71"/>
      <c r="L68" s="71"/>
      <c r="M68" s="152"/>
      <c r="N68" s="86" t="s">
        <v>153</v>
      </c>
      <c r="O68" s="693">
        <v>2500</v>
      </c>
      <c r="P68" s="693"/>
      <c r="Q68" s="118" t="s">
        <v>152</v>
      </c>
      <c r="R68" s="85">
        <v>1</v>
      </c>
      <c r="S68" s="71"/>
      <c r="T68" s="71"/>
      <c r="U68" s="93"/>
      <c r="V68" s="93"/>
    </row>
    <row r="69" spans="1:22" s="215" customFormat="1" ht="14.25" customHeight="1">
      <c r="A69" s="71"/>
      <c r="B69" s="71"/>
      <c r="C69" s="71"/>
      <c r="D69" s="71"/>
      <c r="E69" s="71"/>
      <c r="F69" s="71"/>
      <c r="G69" s="71"/>
      <c r="H69" s="71"/>
      <c r="I69" s="71"/>
      <c r="J69" s="71"/>
      <c r="K69" s="71"/>
      <c r="L69" s="71"/>
      <c r="M69" s="152"/>
      <c r="N69" s="72"/>
      <c r="O69" s="72"/>
      <c r="P69" s="71"/>
      <c r="Q69" s="71"/>
      <c r="R69" s="72"/>
      <c r="S69" s="71"/>
      <c r="T69" s="71"/>
      <c r="U69" s="93"/>
      <c r="V69" s="93"/>
    </row>
    <row r="70" spans="1:22" s="215" customFormat="1" ht="14.25" customHeight="1" thickBot="1">
      <c r="A70" s="71"/>
      <c r="B70" s="71"/>
      <c r="C70" s="71"/>
      <c r="D70" s="71"/>
      <c r="E70" s="71"/>
      <c r="F70" s="71"/>
      <c r="G70" s="71"/>
      <c r="H70" s="71"/>
      <c r="I70" s="71"/>
      <c r="J70" s="71"/>
      <c r="K70" s="72"/>
      <c r="L70" s="72"/>
      <c r="M70" s="72"/>
      <c r="N70" s="72"/>
      <c r="O70" s="72"/>
      <c r="P70" s="71"/>
      <c r="Q70" s="71"/>
      <c r="R70" s="72"/>
      <c r="S70" s="71"/>
      <c r="T70" s="71"/>
      <c r="U70" s="93"/>
      <c r="V70" s="93"/>
    </row>
    <row r="71" spans="1:22" s="215" customFormat="1" ht="14.25" customHeight="1" thickBot="1">
      <c r="A71" s="71"/>
      <c r="B71" s="71"/>
      <c r="C71" s="1114" t="s">
        <v>284</v>
      </c>
      <c r="D71" s="1115"/>
      <c r="E71" s="1116"/>
      <c r="F71" s="71"/>
      <c r="G71" s="71"/>
      <c r="H71" s="71"/>
      <c r="I71" s="71"/>
      <c r="J71" s="71"/>
      <c r="K71" s="72"/>
      <c r="L71" s="72"/>
      <c r="M71" s="72"/>
      <c r="N71" s="1088" t="s">
        <v>295</v>
      </c>
      <c r="O71" s="1089"/>
      <c r="P71" s="1090"/>
      <c r="Q71" s="71"/>
      <c r="R71" s="72"/>
      <c r="S71" s="71"/>
      <c r="T71" s="71"/>
      <c r="U71" s="93"/>
      <c r="V71" s="93"/>
    </row>
    <row r="72" spans="1:22" s="215" customFormat="1" ht="14.25" customHeight="1">
      <c r="A72" s="71"/>
      <c r="B72" s="71"/>
      <c r="C72" s="113" t="s">
        <v>39</v>
      </c>
      <c r="D72" s="146" t="str">
        <f>D26</f>
        <v>Y</v>
      </c>
      <c r="E72" s="84" t="s">
        <v>85</v>
      </c>
      <c r="F72" s="71"/>
      <c r="G72" s="71"/>
      <c r="H72" s="71"/>
      <c r="I72" s="71"/>
      <c r="J72" s="71"/>
      <c r="K72" s="72"/>
      <c r="L72" s="72"/>
      <c r="M72" s="72"/>
      <c r="N72" s="1117" t="s">
        <v>1262</v>
      </c>
      <c r="O72" s="1118"/>
      <c r="P72" s="1119"/>
      <c r="Q72" s="71"/>
      <c r="R72" s="72"/>
      <c r="S72" s="71"/>
      <c r="T72" s="71"/>
      <c r="U72" s="93"/>
      <c r="V72" s="93"/>
    </row>
    <row r="73" spans="1:22" s="215" customFormat="1" ht="14.25" customHeight="1">
      <c r="A73" s="71"/>
      <c r="B73" s="71"/>
      <c r="C73" s="148" t="s">
        <v>122</v>
      </c>
      <c r="D73" s="580">
        <f>IF(D72="Y",D102,0)</f>
        <v>1499.0050036939822</v>
      </c>
      <c r="E73" s="115" t="s">
        <v>115</v>
      </c>
      <c r="F73" s="71"/>
      <c r="G73" s="71"/>
      <c r="H73" s="71"/>
      <c r="I73" s="71"/>
      <c r="J73" s="71"/>
      <c r="K73" s="72"/>
      <c r="L73" s="72"/>
      <c r="M73" s="72"/>
      <c r="N73" s="116" t="s">
        <v>139</v>
      </c>
      <c r="O73" s="211">
        <v>0.9</v>
      </c>
      <c r="P73" s="1120" t="s">
        <v>289</v>
      </c>
      <c r="Q73" s="71"/>
      <c r="R73" s="72"/>
      <c r="S73" s="71"/>
      <c r="T73" s="71"/>
      <c r="U73" s="93"/>
      <c r="V73" s="93"/>
    </row>
    <row r="74" spans="1:22" s="215" customFormat="1" ht="14.25" customHeight="1">
      <c r="A74" s="71"/>
      <c r="B74" s="71"/>
      <c r="C74" s="1100" t="s">
        <v>58</v>
      </c>
      <c r="D74" s="1101"/>
      <c r="E74" s="1102"/>
      <c r="F74" s="71"/>
      <c r="G74" s="71"/>
      <c r="H74" s="71"/>
      <c r="I74" s="71"/>
      <c r="J74" s="71"/>
      <c r="K74" s="72"/>
      <c r="L74" s="72"/>
      <c r="M74" s="72"/>
      <c r="N74" s="116" t="s">
        <v>43</v>
      </c>
      <c r="O74" s="211">
        <v>1.75</v>
      </c>
      <c r="P74" s="1120"/>
      <c r="Q74" s="71"/>
      <c r="R74" s="72"/>
      <c r="S74" s="71"/>
      <c r="T74" s="71"/>
      <c r="U74" s="93"/>
      <c r="V74" s="93"/>
    </row>
    <row r="75" spans="1:22" s="215" customFormat="1" ht="14.25" customHeight="1">
      <c r="A75" s="71"/>
      <c r="B75" s="71"/>
      <c r="C75" s="148" t="s">
        <v>124</v>
      </c>
      <c r="D75" s="671">
        <v>40</v>
      </c>
      <c r="E75" s="115" t="s">
        <v>303</v>
      </c>
      <c r="F75" s="71" t="s">
        <v>304</v>
      </c>
      <c r="G75" s="71"/>
      <c r="H75" s="71"/>
      <c r="I75" s="71"/>
      <c r="J75" s="71"/>
      <c r="K75" s="72"/>
      <c r="L75" s="72"/>
      <c r="M75" s="72"/>
      <c r="N75" s="116" t="s">
        <v>19</v>
      </c>
      <c r="O75" s="211">
        <v>3</v>
      </c>
      <c r="P75" s="1120"/>
      <c r="Q75" s="71"/>
      <c r="R75" s="72"/>
      <c r="S75" s="71"/>
      <c r="T75" s="71"/>
      <c r="U75" s="93"/>
      <c r="V75" s="93"/>
    </row>
    <row r="76" spans="1:22" s="215" customFormat="1" ht="14.25" customHeight="1">
      <c r="A76" s="71"/>
      <c r="B76" s="71"/>
      <c r="C76" s="148" t="s">
        <v>125</v>
      </c>
      <c r="D76" s="580">
        <f>IF(D72="y",D75*'Solid fuels - emission calc.'!D20*1000,0)</f>
        <v>50000000</v>
      </c>
      <c r="E76" s="115" t="s">
        <v>123</v>
      </c>
      <c r="F76" s="71"/>
      <c r="G76" s="71"/>
      <c r="H76" s="71"/>
      <c r="I76" s="71"/>
      <c r="J76" s="71"/>
      <c r="K76" s="72"/>
      <c r="L76" s="72"/>
      <c r="M76" s="72"/>
      <c r="N76" s="116"/>
      <c r="O76" s="146"/>
      <c r="P76" s="81"/>
      <c r="Q76" s="71"/>
      <c r="R76" s="72"/>
      <c r="S76" s="71"/>
      <c r="T76" s="71"/>
      <c r="U76" s="93"/>
      <c r="V76" s="93"/>
    </row>
    <row r="77" spans="1:22" s="215" customFormat="1" ht="14.25" customHeight="1">
      <c r="A77" s="71"/>
      <c r="B77" s="71"/>
      <c r="C77" s="149" t="s">
        <v>34</v>
      </c>
      <c r="D77" s="216">
        <f>D76*'Solid fuels - emission calc.'!J5</f>
        <v>4497055.0185486572</v>
      </c>
      <c r="E77" s="150" t="s">
        <v>126</v>
      </c>
      <c r="F77" s="71"/>
      <c r="G77" s="71"/>
      <c r="H77" s="71"/>
      <c r="I77" s="71"/>
      <c r="J77" s="71"/>
      <c r="K77" s="72"/>
      <c r="L77" s="72"/>
      <c r="M77" s="72"/>
      <c r="N77" s="116" t="s">
        <v>1258</v>
      </c>
      <c r="O77" s="134">
        <f>O75*O59+O60+O58</f>
        <v>10.5</v>
      </c>
      <c r="P77" s="81" t="s">
        <v>16</v>
      </c>
      <c r="Q77" s="71"/>
      <c r="R77" s="72"/>
      <c r="S77" s="71"/>
      <c r="T77" s="71"/>
      <c r="U77" s="93"/>
      <c r="V77" s="93"/>
    </row>
    <row r="78" spans="1:22" s="215" customFormat="1" ht="14.25" customHeight="1" thickBot="1">
      <c r="A78" s="71"/>
      <c r="B78" s="71"/>
      <c r="C78" s="1100" t="s">
        <v>33</v>
      </c>
      <c r="D78" s="1101"/>
      <c r="E78" s="1102"/>
      <c r="F78" s="71"/>
      <c r="G78" s="71"/>
      <c r="H78" s="71"/>
      <c r="I78" s="71"/>
      <c r="J78" s="71"/>
      <c r="K78" s="72"/>
      <c r="L78" s="72"/>
      <c r="M78" s="72"/>
      <c r="N78" s="995" t="s">
        <v>1259</v>
      </c>
      <c r="O78" s="996">
        <f>O58</f>
        <v>1.5</v>
      </c>
      <c r="P78" s="87" t="s">
        <v>16</v>
      </c>
      <c r="Q78" s="71"/>
      <c r="R78" s="72"/>
      <c r="S78" s="71"/>
      <c r="T78" s="71"/>
      <c r="U78" s="93"/>
      <c r="V78" s="93"/>
    </row>
    <row r="79" spans="1:22" s="215" customFormat="1" ht="14.25" customHeight="1">
      <c r="A79" s="71"/>
      <c r="B79" s="71"/>
      <c r="C79" s="148" t="s">
        <v>30</v>
      </c>
      <c r="D79" s="167">
        <f>D76*'Solid fuels - emission calc.'!G4</f>
        <v>1000000</v>
      </c>
      <c r="E79" s="115" t="s">
        <v>126</v>
      </c>
      <c r="F79" s="71"/>
      <c r="G79" s="71"/>
      <c r="H79" s="71"/>
      <c r="I79" s="71"/>
      <c r="J79" s="71"/>
      <c r="K79" s="72"/>
      <c r="L79" s="72"/>
      <c r="M79" s="72"/>
      <c r="N79" s="88"/>
      <c r="O79" s="152"/>
      <c r="P79" s="88"/>
      <c r="Q79" s="71"/>
      <c r="R79" s="72"/>
      <c r="S79" s="71"/>
      <c r="T79" s="71"/>
      <c r="U79" s="93"/>
      <c r="V79" s="93"/>
    </row>
    <row r="80" spans="1:22" s="215" customFormat="1" ht="14.25" customHeight="1">
      <c r="A80" s="71"/>
      <c r="B80" s="71"/>
      <c r="C80" s="148" t="s">
        <v>1027</v>
      </c>
      <c r="D80" s="135" t="s">
        <v>44</v>
      </c>
      <c r="E80" s="115"/>
      <c r="F80" s="71"/>
      <c r="G80" s="71"/>
      <c r="H80" s="71"/>
      <c r="I80" s="71"/>
      <c r="J80" s="71"/>
      <c r="K80" s="72"/>
      <c r="L80" s="72"/>
      <c r="M80" s="72"/>
      <c r="N80" s="404"/>
      <c r="O80" s="404"/>
      <c r="P80" s="404"/>
      <c r="Q80" s="71"/>
      <c r="R80" s="72"/>
      <c r="S80" s="71"/>
      <c r="T80" s="71"/>
      <c r="U80" s="93"/>
      <c r="V80" s="93"/>
    </row>
    <row r="81" spans="1:22" s="215" customFormat="1" ht="14.25" customHeight="1" thickBot="1">
      <c r="A81" s="71"/>
      <c r="B81" s="71"/>
      <c r="C81" s="148" t="s">
        <v>41</v>
      </c>
      <c r="D81" s="114" t="str">
        <f>IF(D80="Y","N","Y")</f>
        <v>N</v>
      </c>
      <c r="E81" s="115"/>
      <c r="F81" s="71"/>
      <c r="G81" s="71"/>
      <c r="H81" s="71"/>
      <c r="I81" s="71"/>
      <c r="J81" s="71"/>
      <c r="K81" s="72"/>
      <c r="L81" s="72"/>
      <c r="M81" s="72"/>
      <c r="N81" s="88"/>
      <c r="O81" s="95"/>
      <c r="P81" s="88"/>
      <c r="Q81" s="71"/>
      <c r="R81" s="72"/>
      <c r="S81" s="71"/>
      <c r="T81" s="71"/>
      <c r="U81" s="93"/>
      <c r="V81" s="93"/>
    </row>
    <row r="82" spans="1:22" s="215" customFormat="1" ht="14.25" customHeight="1">
      <c r="A82" s="71"/>
      <c r="B82" s="71"/>
      <c r="C82" s="148" t="s">
        <v>332</v>
      </c>
      <c r="D82" s="168">
        <f>O73</f>
        <v>0.9</v>
      </c>
      <c r="E82" s="115"/>
      <c r="F82" s="71"/>
      <c r="G82" s="71"/>
      <c r="H82" s="71"/>
      <c r="I82" s="71"/>
      <c r="J82" s="71"/>
      <c r="K82" s="72"/>
      <c r="L82" s="72"/>
      <c r="M82" s="72"/>
      <c r="N82" s="1088" t="s">
        <v>290</v>
      </c>
      <c r="O82" s="1089"/>
      <c r="P82" s="1090"/>
      <c r="Q82" s="71"/>
      <c r="R82" s="72"/>
      <c r="S82" s="71"/>
      <c r="T82" s="71"/>
      <c r="U82" s="93"/>
      <c r="V82" s="93"/>
    </row>
    <row r="83" spans="1:22" s="215" customFormat="1" ht="14.25" customHeight="1">
      <c r="A83" s="71"/>
      <c r="B83" s="71"/>
      <c r="C83" s="148" t="s">
        <v>50</v>
      </c>
      <c r="D83" s="580">
        <f>IF(D72="Y",IF(D81="N",D73/'Solid fuels - emission calc.'!$F10*'Solid fuels - emission calc.'!$F12*D82,D73/'Solid fuels - emission calc.'!$F10*'Solid fuels - emission calc.'!$F13*D82/2),0)</f>
        <v>521.24492173904389</v>
      </c>
      <c r="E83" s="115" t="s">
        <v>115</v>
      </c>
      <c r="F83" s="1053" t="s">
        <v>305</v>
      </c>
      <c r="G83" s="71"/>
      <c r="H83" s="71"/>
      <c r="I83" s="71"/>
      <c r="J83" s="71"/>
      <c r="K83" s="72"/>
      <c r="L83" s="72"/>
      <c r="M83" s="72"/>
      <c r="N83" s="80" t="s">
        <v>154</v>
      </c>
      <c r="O83" s="135">
        <v>0.5</v>
      </c>
      <c r="P83" s="81" t="s">
        <v>147</v>
      </c>
      <c r="Q83" s="71"/>
      <c r="R83" s="72"/>
      <c r="S83" s="71"/>
      <c r="T83" s="71"/>
      <c r="U83" s="93"/>
      <c r="V83" s="93"/>
    </row>
    <row r="84" spans="1:22" s="215" customFormat="1" ht="14.25" customHeight="1">
      <c r="A84" s="71"/>
      <c r="B84" s="71"/>
      <c r="C84" s="148" t="s">
        <v>49</v>
      </c>
      <c r="D84" s="580">
        <f>IF(D80="Y",'Solid fuels - emission calc.'!$K31,'Solid fuels - emission calc.'!$K32)*D83</f>
        <v>234560.21478256976</v>
      </c>
      <c r="E84" s="115" t="s">
        <v>126</v>
      </c>
      <c r="F84" s="1053"/>
      <c r="G84" s="71"/>
      <c r="H84" s="71"/>
      <c r="I84" s="71"/>
      <c r="J84" s="71"/>
      <c r="K84" s="72"/>
      <c r="L84" s="72"/>
      <c r="M84" s="72"/>
      <c r="N84" s="80" t="s">
        <v>155</v>
      </c>
      <c r="O84" s="134">
        <f>O83*'Solid fuels - emission calc.'!D20</f>
        <v>625</v>
      </c>
      <c r="P84" s="81" t="s">
        <v>156</v>
      </c>
      <c r="Q84" s="71"/>
      <c r="R84" s="72"/>
      <c r="S84" s="71"/>
      <c r="T84" s="71"/>
      <c r="U84" s="93"/>
      <c r="V84" s="93"/>
    </row>
    <row r="85" spans="1:22" s="215" customFormat="1" ht="14.25" customHeight="1">
      <c r="A85" s="71"/>
      <c r="B85" s="71"/>
      <c r="C85" s="119" t="s">
        <v>54</v>
      </c>
      <c r="D85" s="1003">
        <v>0.1</v>
      </c>
      <c r="E85" s="115" t="s">
        <v>52</v>
      </c>
      <c r="F85" s="1053"/>
      <c r="G85" s="71"/>
      <c r="H85" s="71"/>
      <c r="I85" s="71"/>
      <c r="J85" s="71"/>
      <c r="K85" s="72"/>
      <c r="L85" s="72"/>
      <c r="M85" s="72"/>
      <c r="N85" s="80" t="s">
        <v>148</v>
      </c>
      <c r="O85" s="135">
        <v>20000</v>
      </c>
      <c r="P85" s="81" t="s">
        <v>149</v>
      </c>
      <c r="Q85" s="71"/>
      <c r="R85" s="72"/>
      <c r="S85" s="71"/>
      <c r="T85" s="71"/>
      <c r="U85" s="93"/>
      <c r="V85" s="93"/>
    </row>
    <row r="86" spans="1:22" s="215" customFormat="1" ht="14.25" customHeight="1">
      <c r="A86" s="71"/>
      <c r="B86" s="71"/>
      <c r="C86" s="119" t="s">
        <v>53</v>
      </c>
      <c r="D86" s="580">
        <f>IF(D72="y",D85*'Solid fuels - emission calc.'!K33*'Solid fuels - emission calc.'!G33*8760/100,0)</f>
        <v>52560</v>
      </c>
      <c r="E86" s="117" t="s">
        <v>126</v>
      </c>
      <c r="F86" s="1053"/>
      <c r="G86" s="71"/>
      <c r="H86" s="71"/>
      <c r="I86" s="71"/>
      <c r="J86" s="71"/>
      <c r="K86" s="72"/>
      <c r="L86" s="72"/>
      <c r="M86" s="72"/>
      <c r="N86" s="80" t="s">
        <v>513</v>
      </c>
      <c r="O86" s="439">
        <v>0.2</v>
      </c>
      <c r="P86" s="81"/>
      <c r="Q86" s="71"/>
      <c r="R86" s="72"/>
      <c r="S86" s="71"/>
      <c r="T86" s="71"/>
      <c r="U86" s="93"/>
      <c r="V86" s="93"/>
    </row>
    <row r="87" spans="1:22" s="215" customFormat="1" ht="14.25" customHeight="1">
      <c r="A87" s="71"/>
      <c r="B87" s="71"/>
      <c r="C87" s="119" t="s">
        <v>51</v>
      </c>
      <c r="D87" s="169">
        <f>'Solid fuels - emission calc.'!K34*O77</f>
        <v>0.43469999999999998</v>
      </c>
      <c r="E87" s="117" t="s">
        <v>55</v>
      </c>
      <c r="F87" s="1053"/>
      <c r="G87" s="71"/>
      <c r="H87" s="71"/>
      <c r="I87" s="71"/>
      <c r="J87" s="71"/>
      <c r="K87" s="72"/>
      <c r="L87" s="72"/>
      <c r="M87" s="72"/>
      <c r="N87" s="80" t="s">
        <v>514</v>
      </c>
      <c r="O87" s="134">
        <f>O85*(1-O86)</f>
        <v>16000</v>
      </c>
      <c r="P87" s="81" t="s">
        <v>149</v>
      </c>
      <c r="Q87" s="71"/>
      <c r="R87" s="72"/>
      <c r="S87" s="71"/>
      <c r="T87" s="71"/>
      <c r="U87" s="93"/>
      <c r="V87" s="93"/>
    </row>
    <row r="88" spans="1:22" s="215" customFormat="1" ht="14.25" customHeight="1">
      <c r="A88" s="71"/>
      <c r="B88" s="71"/>
      <c r="C88" s="148" t="s">
        <v>56</v>
      </c>
      <c r="D88" s="580">
        <f>IF(D72="Y",D87*'Solid fuels - emission calc.'!K33*'Solid fuels - emission calc.'!D101*O77/10^6,0)</f>
        <v>3821057.9910392119</v>
      </c>
      <c r="E88" s="115" t="s">
        <v>126</v>
      </c>
      <c r="F88" s="1053"/>
      <c r="G88" s="71"/>
      <c r="H88" s="71"/>
      <c r="I88" s="71"/>
      <c r="J88" s="71"/>
      <c r="K88" s="72"/>
      <c r="L88" s="72"/>
      <c r="M88" s="72"/>
      <c r="N88" s="113" t="s">
        <v>150</v>
      </c>
      <c r="O88" s="135">
        <v>2</v>
      </c>
      <c r="P88" s="81"/>
      <c r="Q88" s="71"/>
      <c r="R88" s="72"/>
      <c r="S88" s="71"/>
      <c r="T88" s="71"/>
      <c r="U88" s="93"/>
      <c r="V88" s="93"/>
    </row>
    <row r="89" spans="1:22" s="215" customFormat="1" ht="14.25" customHeight="1">
      <c r="A89" s="71"/>
      <c r="B89" s="71"/>
      <c r="C89" s="148" t="s">
        <v>142</v>
      </c>
      <c r="D89" s="580">
        <f>IF(D72="Y",O90,0)</f>
        <v>2463750</v>
      </c>
      <c r="E89" s="115" t="s">
        <v>126</v>
      </c>
      <c r="F89" s="1053"/>
      <c r="G89" s="71"/>
      <c r="H89" s="71"/>
      <c r="I89" s="71"/>
      <c r="J89" s="71"/>
      <c r="K89" s="72"/>
      <c r="L89" s="72"/>
      <c r="M89" s="72"/>
      <c r="N89" s="80" t="s">
        <v>157</v>
      </c>
      <c r="O89" s="144">
        <f>IF('Solid fuels - emission calc.'!D31="n",'Solid fuels - NOx Analysis'!O85/('Solid fuels - emission calc.'!G33*8760/100),'Solid fuels - NOx Analysis'!O87/('Solid fuels - emission calc.'!G33*8760/100))</f>
        <v>2.2831050228310503</v>
      </c>
      <c r="P89" s="81" t="s">
        <v>158</v>
      </c>
      <c r="Q89" s="71"/>
      <c r="R89" s="72"/>
      <c r="S89" s="71"/>
      <c r="T89" s="71"/>
      <c r="U89" s="93"/>
      <c r="V89" s="93"/>
    </row>
    <row r="90" spans="1:22" s="215" customFormat="1" ht="14.25" customHeight="1" thickBot="1">
      <c r="A90" s="71"/>
      <c r="B90" s="71"/>
      <c r="C90" s="80"/>
      <c r="D90" s="164"/>
      <c r="E90" s="81"/>
      <c r="F90" s="71"/>
      <c r="G90" s="71"/>
      <c r="H90" s="71"/>
      <c r="I90" s="71"/>
      <c r="J90" s="71"/>
      <c r="K90" s="72"/>
      <c r="L90" s="72"/>
      <c r="M90" s="72"/>
      <c r="N90" s="86" t="s">
        <v>159</v>
      </c>
      <c r="O90" s="145">
        <f>(O84*O67+O88*O84*O68)/O89</f>
        <v>2463750</v>
      </c>
      <c r="P90" s="87" t="s">
        <v>126</v>
      </c>
      <c r="Q90" s="71"/>
      <c r="R90" s="72"/>
      <c r="S90" s="71"/>
      <c r="T90" s="71"/>
      <c r="U90" s="93"/>
      <c r="V90" s="93"/>
    </row>
    <row r="91" spans="1:22" s="215" customFormat="1" ht="14.25" customHeight="1">
      <c r="A91" s="71"/>
      <c r="B91" s="71"/>
      <c r="C91" s="149" t="s">
        <v>293</v>
      </c>
      <c r="D91" s="216">
        <f>D88+D86+D84+D89+D79</f>
        <v>7571928.2058217814</v>
      </c>
      <c r="E91" s="150" t="s">
        <v>126</v>
      </c>
      <c r="F91" s="71"/>
      <c r="G91" s="71"/>
      <c r="H91" s="71"/>
      <c r="I91" s="71"/>
      <c r="J91" s="71"/>
      <c r="K91" s="72"/>
      <c r="L91" s="72"/>
      <c r="M91" s="72"/>
      <c r="N91" s="72"/>
      <c r="O91" s="72"/>
      <c r="P91" s="71"/>
      <c r="Q91" s="71"/>
      <c r="R91" s="72"/>
      <c r="S91" s="71"/>
      <c r="T91" s="71"/>
      <c r="U91" s="93"/>
      <c r="V91" s="93"/>
    </row>
    <row r="92" spans="1:22" s="215" customFormat="1" ht="14.25" customHeight="1">
      <c r="A92" s="71"/>
      <c r="B92" s="71"/>
      <c r="C92" s="149" t="s">
        <v>36</v>
      </c>
      <c r="D92" s="216">
        <f>D91+D77</f>
        <v>12068983.224370439</v>
      </c>
      <c r="E92" s="150" t="s">
        <v>126</v>
      </c>
      <c r="F92" s="71"/>
      <c r="G92" s="71"/>
      <c r="H92" s="71"/>
      <c r="I92" s="71"/>
      <c r="J92" s="71"/>
      <c r="K92" s="72"/>
      <c r="L92" s="72"/>
      <c r="M92" s="72"/>
      <c r="N92" s="72"/>
      <c r="O92" s="72"/>
      <c r="P92" s="71"/>
      <c r="Q92" s="71"/>
      <c r="R92" s="72"/>
      <c r="S92" s="71"/>
      <c r="T92" s="71"/>
      <c r="U92" s="93"/>
      <c r="V92" s="93"/>
    </row>
    <row r="93" spans="1:22" s="215" customFormat="1" ht="14.25" customHeight="1">
      <c r="A93" s="71"/>
      <c r="B93" s="71"/>
      <c r="C93" s="149" t="s">
        <v>57</v>
      </c>
      <c r="D93" s="216">
        <f>IF(D72="y",D92/D73,"n/a")</f>
        <v>8051.3295116620493</v>
      </c>
      <c r="E93" s="150" t="s">
        <v>38</v>
      </c>
      <c r="F93" s="71"/>
      <c r="G93" s="71"/>
      <c r="H93" s="71"/>
      <c r="I93" s="71"/>
      <c r="J93" s="71"/>
      <c r="K93" s="72"/>
      <c r="L93" s="72"/>
      <c r="M93" s="72"/>
      <c r="N93" s="72"/>
      <c r="O93" s="72"/>
      <c r="P93" s="71"/>
      <c r="Q93" s="71"/>
      <c r="R93" s="72"/>
      <c r="S93" s="71"/>
      <c r="T93" s="71"/>
      <c r="U93" s="93"/>
      <c r="V93" s="93"/>
    </row>
    <row r="94" spans="1:22" s="215" customFormat="1" ht="14.25" customHeight="1">
      <c r="A94" s="71"/>
      <c r="B94" s="71"/>
      <c r="C94" s="141" t="s">
        <v>285</v>
      </c>
      <c r="D94" s="171">
        <f>IF(D92&gt;0,D77/D92,"n/a")</f>
        <v>0.37261258342524872</v>
      </c>
      <c r="E94" s="173"/>
      <c r="F94" s="71"/>
      <c r="G94" s="71"/>
      <c r="H94" s="71"/>
      <c r="I94" s="71"/>
      <c r="J94" s="71"/>
      <c r="K94" s="72"/>
      <c r="L94" s="72"/>
      <c r="M94" s="72"/>
      <c r="N94" s="72"/>
      <c r="O94" s="72"/>
      <c r="P94" s="71"/>
      <c r="Q94" s="71"/>
      <c r="R94" s="72"/>
      <c r="S94" s="71"/>
      <c r="T94" s="71"/>
      <c r="U94" s="93"/>
      <c r="V94" s="93"/>
    </row>
    <row r="95" spans="1:22" s="215" customFormat="1" ht="14.25" customHeight="1" thickBot="1">
      <c r="A95" s="71"/>
      <c r="B95" s="71"/>
      <c r="C95" s="165" t="s">
        <v>286</v>
      </c>
      <c r="D95" s="172">
        <f>IF(D92&gt;0,D91/D92,"n/a")</f>
        <v>0.62738741657475128</v>
      </c>
      <c r="E95" s="174"/>
      <c r="F95" s="71"/>
      <c r="G95" s="71"/>
      <c r="H95" s="71"/>
      <c r="I95" s="71"/>
      <c r="J95" s="71"/>
      <c r="K95" s="72"/>
      <c r="L95" s="72"/>
      <c r="M95" s="72"/>
      <c r="N95" s="72"/>
      <c r="O95" s="72"/>
      <c r="P95" s="71"/>
      <c r="Q95" s="71"/>
      <c r="R95" s="72"/>
      <c r="S95" s="71"/>
      <c r="T95" s="71"/>
      <c r="U95" s="93"/>
      <c r="V95" s="93"/>
    </row>
    <row r="96" spans="1:22" s="215" customFormat="1" ht="14.25" customHeight="1" thickBot="1">
      <c r="A96" s="71"/>
      <c r="B96" s="71"/>
      <c r="C96" s="71"/>
      <c r="D96" s="71"/>
      <c r="E96" s="71"/>
      <c r="F96" s="71"/>
      <c r="G96" s="71"/>
      <c r="H96" s="71"/>
      <c r="I96" s="71"/>
      <c r="J96" s="71"/>
      <c r="K96" s="72"/>
      <c r="L96" s="72"/>
      <c r="M96" s="72"/>
      <c r="N96" s="72"/>
      <c r="O96" s="72"/>
      <c r="P96" s="71"/>
      <c r="Q96" s="71"/>
      <c r="R96" s="72"/>
      <c r="S96" s="71"/>
      <c r="T96" s="71"/>
      <c r="U96" s="93"/>
      <c r="V96" s="93"/>
    </row>
    <row r="97" spans="1:30" s="215" customFormat="1" ht="14.25" customHeight="1">
      <c r="A97" s="71"/>
      <c r="B97" s="71"/>
      <c r="C97" s="1091" t="s">
        <v>118</v>
      </c>
      <c r="D97" s="1092"/>
      <c r="E97" s="1092"/>
      <c r="F97" s="1093"/>
      <c r="G97" s="71"/>
      <c r="H97" s="71"/>
      <c r="I97" s="71"/>
      <c r="J97" s="71"/>
      <c r="K97" s="72"/>
      <c r="L97" s="72"/>
      <c r="M97" s="72"/>
      <c r="N97" s="72"/>
      <c r="O97" s="72"/>
      <c r="P97" s="71"/>
      <c r="Q97" s="71"/>
      <c r="R97" s="72"/>
      <c r="S97" s="71"/>
      <c r="T97" s="71"/>
      <c r="U97" s="93"/>
      <c r="V97" s="93"/>
    </row>
    <row r="98" spans="1:30" s="215" customFormat="1" ht="14.25" customHeight="1">
      <c r="A98" s="71"/>
      <c r="B98" s="71"/>
      <c r="C98" s="80" t="s">
        <v>113</v>
      </c>
      <c r="D98" s="152">
        <f>IF('Solid fuels - NOx Analysis'!D20&lt;1,IF('Solid fuels - NOx Analysis'!D18&lt;1,'Solid fuels - emission calc.'!J107,'Solid fuels - emission calc.'!J107-'Solid fuels - NOx Analysis'!D18),'Solid fuels - emission calc.'!J107-'Solid fuels - NOx Analysis'!D20)</f>
        <v>300</v>
      </c>
      <c r="E98" s="159" t="s">
        <v>409</v>
      </c>
      <c r="F98" s="81"/>
      <c r="G98" s="71"/>
      <c r="H98" s="71"/>
      <c r="I98" s="71"/>
      <c r="J98" s="71"/>
      <c r="K98" s="72"/>
      <c r="L98" s="72"/>
      <c r="M98" s="72"/>
      <c r="N98" s="72"/>
      <c r="O98" s="72"/>
      <c r="P98" s="71"/>
      <c r="Q98" s="71"/>
      <c r="R98" s="72"/>
      <c r="S98" s="71"/>
      <c r="T98" s="71"/>
      <c r="U98" s="93"/>
      <c r="V98" s="93"/>
    </row>
    <row r="99" spans="1:30" s="215" customFormat="1" ht="14.25" customHeight="1">
      <c r="A99" s="71"/>
      <c r="B99" s="71"/>
      <c r="C99" s="80" t="s">
        <v>113</v>
      </c>
      <c r="D99" s="108">
        <f>D98/'Solid fuels - emission calc.'!J105</f>
        <v>344.38711417309634</v>
      </c>
      <c r="E99" s="159" t="s">
        <v>1021</v>
      </c>
      <c r="F99" s="81"/>
      <c r="G99" s="71"/>
      <c r="H99" s="71"/>
      <c r="I99" s="71"/>
      <c r="J99" s="71"/>
      <c r="K99" s="72"/>
      <c r="L99" s="72"/>
      <c r="M99" s="72"/>
      <c r="N99" s="72"/>
      <c r="O99" s="72"/>
      <c r="P99" s="71"/>
      <c r="Q99" s="71"/>
      <c r="R99" s="72"/>
      <c r="S99" s="71"/>
      <c r="T99" s="71"/>
      <c r="U99" s="93"/>
      <c r="V99" s="93"/>
    </row>
    <row r="100" spans="1:30" s="215" customFormat="1" ht="14.25" customHeight="1">
      <c r="A100" s="71"/>
      <c r="B100" s="71"/>
      <c r="C100" s="80" t="s">
        <v>114</v>
      </c>
      <c r="D100" s="114">
        <f>D101+D102</f>
        <v>4497.0150110819468</v>
      </c>
      <c r="E100" s="93" t="s">
        <v>115</v>
      </c>
      <c r="F100" s="109" t="s">
        <v>121</v>
      </c>
      <c r="G100" s="71"/>
      <c r="H100" s="71"/>
      <c r="I100" s="71"/>
      <c r="J100" s="71"/>
      <c r="K100" s="72"/>
      <c r="L100" s="72"/>
      <c r="M100" s="72"/>
      <c r="N100" s="72"/>
      <c r="O100" s="72"/>
      <c r="P100" s="71"/>
      <c r="Q100" s="71"/>
      <c r="R100" s="72"/>
      <c r="S100" s="71"/>
      <c r="T100" s="71"/>
      <c r="U100" s="93"/>
      <c r="V100" s="93"/>
    </row>
    <row r="101" spans="1:30" s="215" customFormat="1" ht="14.25" customHeight="1">
      <c r="A101" s="71"/>
      <c r="B101" s="71"/>
      <c r="C101" s="80" t="s">
        <v>119</v>
      </c>
      <c r="D101" s="114">
        <f>D35</f>
        <v>2998.0100073879644</v>
      </c>
      <c r="E101" s="88" t="s">
        <v>115</v>
      </c>
      <c r="F101" s="110">
        <f>D101/D$100</f>
        <v>0.66666666666666663</v>
      </c>
      <c r="G101" s="71"/>
      <c r="H101" s="71"/>
      <c r="I101" s="71"/>
      <c r="J101" s="71"/>
      <c r="K101" s="72"/>
      <c r="L101" s="72"/>
      <c r="M101" s="72"/>
      <c r="N101" s="72"/>
      <c r="O101" s="72"/>
      <c r="P101" s="71"/>
      <c r="Q101" s="71"/>
      <c r="R101" s="72"/>
      <c r="S101" s="71"/>
      <c r="T101" s="71"/>
      <c r="U101" s="93"/>
      <c r="V101" s="93"/>
    </row>
    <row r="102" spans="1:30" ht="15.75" thickBot="1">
      <c r="A102" s="71"/>
      <c r="B102" s="71"/>
      <c r="C102" s="86" t="s">
        <v>120</v>
      </c>
      <c r="D102" s="210">
        <f>(D18-D20)/'Solid fuels - emission calc.'!J105*'Solid fuels - emission calc.'!D103/10^9</f>
        <v>1499.0050036939822</v>
      </c>
      <c r="E102" s="92" t="s">
        <v>115</v>
      </c>
      <c r="F102" s="111">
        <f>D102/D$100</f>
        <v>0.33333333333333331</v>
      </c>
      <c r="G102" s="71"/>
      <c r="H102" s="71"/>
      <c r="I102" s="71"/>
      <c r="J102" s="71"/>
      <c r="K102" s="72"/>
      <c r="L102" s="72"/>
      <c r="M102" s="72"/>
      <c r="N102" s="72"/>
      <c r="O102" s="72"/>
      <c r="P102" s="72"/>
      <c r="Q102" s="71"/>
      <c r="R102" s="71"/>
      <c r="S102" s="71"/>
      <c r="T102" s="71"/>
    </row>
    <row r="104" spans="1:30" ht="27.75">
      <c r="A104" s="75"/>
      <c r="B104" s="140"/>
      <c r="C104" s="206" t="s">
        <v>938</v>
      </c>
      <c r="D104" s="140"/>
      <c r="E104" s="140"/>
      <c r="F104" s="140"/>
      <c r="G104" s="140"/>
      <c r="H104" s="140"/>
      <c r="I104" s="140"/>
      <c r="J104" s="140"/>
      <c r="K104" s="140"/>
      <c r="L104" s="140"/>
      <c r="M104" s="140"/>
      <c r="N104" s="206"/>
      <c r="O104" s="140"/>
      <c r="P104" s="140"/>
      <c r="Q104" s="140"/>
      <c r="R104" s="75"/>
      <c r="S104" s="75"/>
      <c r="T104" s="75"/>
      <c r="U104" s="75"/>
      <c r="V104" s="75"/>
    </row>
    <row r="106" spans="1:30">
      <c r="B106" s="564" t="s">
        <v>186</v>
      </c>
      <c r="C106" s="564" t="s">
        <v>200</v>
      </c>
      <c r="P106" s="564" t="s">
        <v>215</v>
      </c>
      <c r="Q106" s="564" t="s">
        <v>216</v>
      </c>
      <c r="R106" s="564" t="s">
        <v>217</v>
      </c>
    </row>
    <row r="107" spans="1:30">
      <c r="C107" s="564" t="s">
        <v>199</v>
      </c>
      <c r="D107" s="564" t="s">
        <v>201</v>
      </c>
      <c r="E107" s="564" t="s">
        <v>202</v>
      </c>
      <c r="F107" s="564" t="s">
        <v>203</v>
      </c>
      <c r="P107" s="564">
        <v>2010</v>
      </c>
      <c r="Q107" s="565">
        <f>R$107/R107</f>
        <v>1</v>
      </c>
      <c r="R107" s="564">
        <v>550.79999999999995</v>
      </c>
      <c r="T107" s="565"/>
      <c r="U107" s="565"/>
      <c r="V107" s="565"/>
      <c r="W107" s="565"/>
      <c r="X107" s="565"/>
      <c r="Y107" s="565"/>
      <c r="Z107" s="565"/>
      <c r="AA107" s="565"/>
      <c r="AB107" s="565"/>
      <c r="AC107" s="565"/>
      <c r="AD107" s="565"/>
    </row>
    <row r="108" spans="1:30">
      <c r="B108" s="564" t="s">
        <v>195</v>
      </c>
      <c r="C108" s="564" t="s">
        <v>194</v>
      </c>
      <c r="D108" s="10">
        <v>1.2</v>
      </c>
      <c r="E108" s="564">
        <v>2006</v>
      </c>
      <c r="F108" s="564" t="s">
        <v>192</v>
      </c>
      <c r="G108" s="565"/>
      <c r="P108" s="564">
        <f>P107-1</f>
        <v>2009</v>
      </c>
      <c r="Q108" s="565">
        <f t="shared" ref="Q108:Q117" si="1">R$107/R108</f>
        <v>1.0553745928338762</v>
      </c>
      <c r="R108" s="564">
        <v>521.9</v>
      </c>
    </row>
    <row r="109" spans="1:30">
      <c r="B109" s="564" t="s">
        <v>196</v>
      </c>
      <c r="C109" s="564" t="s">
        <v>193</v>
      </c>
      <c r="D109" s="10">
        <v>1.36</v>
      </c>
      <c r="E109" s="564">
        <v>2007</v>
      </c>
      <c r="F109" s="564" t="s">
        <v>191</v>
      </c>
      <c r="G109" s="565"/>
      <c r="P109" s="564">
        <f t="shared" ref="P109:P116" si="2">P108-1</f>
        <v>2008</v>
      </c>
      <c r="Q109" s="565">
        <f t="shared" si="1"/>
        <v>0.95724713242961412</v>
      </c>
      <c r="R109" s="564">
        <v>575.4</v>
      </c>
      <c r="U109" s="565"/>
    </row>
    <row r="110" spans="1:30">
      <c r="P110" s="564">
        <f t="shared" si="2"/>
        <v>2007</v>
      </c>
      <c r="Q110" s="565">
        <f t="shared" si="1"/>
        <v>1.048344118766654</v>
      </c>
      <c r="R110" s="564">
        <v>525.4</v>
      </c>
      <c r="U110" s="565"/>
    </row>
    <row r="111" spans="1:30">
      <c r="B111" s="564" t="s">
        <v>205</v>
      </c>
      <c r="C111" s="12">
        <f>'Solid fuels - emission calc.'!D21/100</f>
        <v>0.4</v>
      </c>
      <c r="D111" s="564" t="s">
        <v>206</v>
      </c>
      <c r="P111" s="564">
        <f t="shared" si="2"/>
        <v>2006</v>
      </c>
      <c r="Q111" s="565">
        <f t="shared" si="1"/>
        <v>1.1024819855884707</v>
      </c>
      <c r="R111" s="564">
        <v>499.6</v>
      </c>
      <c r="U111" s="565"/>
    </row>
    <row r="112" spans="1:30">
      <c r="P112" s="564">
        <f>P111-1</f>
        <v>2005</v>
      </c>
      <c r="Q112" s="565">
        <f t="shared" si="1"/>
        <v>1.176420333190944</v>
      </c>
      <c r="R112" s="564">
        <v>468.2</v>
      </c>
      <c r="U112" s="565"/>
    </row>
    <row r="113" spans="2:21" ht="15.75" thickBot="1">
      <c r="P113" s="564">
        <f t="shared" si="2"/>
        <v>2004</v>
      </c>
      <c r="Q113" s="565">
        <f t="shared" si="1"/>
        <v>1.2399819900945519</v>
      </c>
      <c r="R113" s="564">
        <v>444.2</v>
      </c>
      <c r="U113" s="565"/>
    </row>
    <row r="114" spans="2:21">
      <c r="B114" s="23"/>
      <c r="C114" s="55"/>
      <c r="D114" s="1094" t="s">
        <v>189</v>
      </c>
      <c r="E114" s="1095"/>
      <c r="F114" s="1096" t="s">
        <v>190</v>
      </c>
      <c r="G114" s="1097"/>
      <c r="H114" s="28"/>
      <c r="I114" s="1098" t="s">
        <v>198</v>
      </c>
      <c r="J114" s="1098"/>
      <c r="K114" s="1098"/>
      <c r="L114" s="1098"/>
      <c r="M114" s="1098"/>
      <c r="N114" s="1099"/>
      <c r="P114" s="564">
        <f t="shared" si="2"/>
        <v>2003</v>
      </c>
      <c r="Q114" s="565">
        <f t="shared" si="1"/>
        <v>1.3711725168035847</v>
      </c>
      <c r="R114" s="564">
        <v>401.7</v>
      </c>
      <c r="U114" s="565"/>
    </row>
    <row r="115" spans="2:21">
      <c r="B115" s="24"/>
      <c r="C115" s="44"/>
      <c r="D115" s="41" t="s">
        <v>143</v>
      </c>
      <c r="E115" s="17" t="s">
        <v>144</v>
      </c>
      <c r="F115" s="47" t="s">
        <v>143</v>
      </c>
      <c r="G115" s="13" t="s">
        <v>144</v>
      </c>
      <c r="H115" s="29" t="s">
        <v>197</v>
      </c>
      <c r="I115" s="29" t="s">
        <v>143</v>
      </c>
      <c r="J115" s="29" t="s">
        <v>144</v>
      </c>
      <c r="K115" s="29" t="s">
        <v>145</v>
      </c>
      <c r="L115" s="29" t="s">
        <v>209</v>
      </c>
      <c r="M115" s="29" t="s">
        <v>214</v>
      </c>
      <c r="N115" s="30" t="s">
        <v>221</v>
      </c>
      <c r="P115" s="564">
        <f>P114-1</f>
        <v>2002</v>
      </c>
      <c r="Q115" s="565">
        <f t="shared" si="1"/>
        <v>1.3923154701718905</v>
      </c>
      <c r="R115" s="564">
        <v>395.6</v>
      </c>
      <c r="U115" s="565"/>
    </row>
    <row r="116" spans="2:21">
      <c r="B116" s="6" t="s">
        <v>187</v>
      </c>
      <c r="C116" s="45" t="s">
        <v>188</v>
      </c>
      <c r="D116" s="42">
        <f>I116*$D$109*$Q110</f>
        <v>28.514960030452993</v>
      </c>
      <c r="E116" s="21">
        <f>J116*$D$109*$Q110</f>
        <v>28.514960030452993</v>
      </c>
      <c r="F116" s="48">
        <f>D116*$C$111</f>
        <v>11.405984012181198</v>
      </c>
      <c r="G116" s="22">
        <f>E116*$C$111</f>
        <v>11.405984012181198</v>
      </c>
      <c r="H116" s="31" t="s">
        <v>204</v>
      </c>
      <c r="I116" s="31">
        <v>20</v>
      </c>
      <c r="J116" s="31">
        <v>20</v>
      </c>
      <c r="K116" s="31" t="s">
        <v>210</v>
      </c>
      <c r="L116" s="31" t="s">
        <v>191</v>
      </c>
      <c r="M116" s="31">
        <v>2007</v>
      </c>
      <c r="N116" s="32"/>
      <c r="P116" s="564">
        <f t="shared" si="2"/>
        <v>2001</v>
      </c>
      <c r="Q116" s="565">
        <f t="shared" si="1"/>
        <v>1.396905909206188</v>
      </c>
      <c r="R116" s="564">
        <v>394.3</v>
      </c>
      <c r="U116" s="565"/>
    </row>
    <row r="117" spans="2:21">
      <c r="B117" s="1" t="s">
        <v>207</v>
      </c>
      <c r="C117" s="19" t="s">
        <v>208</v>
      </c>
      <c r="D117" s="9">
        <f>F117*$C111</f>
        <v>2.3528406663818879</v>
      </c>
      <c r="E117" s="18">
        <f>G117*$C111</f>
        <v>2.3528406663818879</v>
      </c>
      <c r="F117" s="39">
        <f>I117*$Q112</f>
        <v>5.8821016659547194</v>
      </c>
      <c r="G117" s="14">
        <f>J117*$Q112</f>
        <v>5.8821016659547194</v>
      </c>
      <c r="H117" s="33" t="s">
        <v>213</v>
      </c>
      <c r="I117" s="33">
        <v>5</v>
      </c>
      <c r="J117" s="33">
        <v>5</v>
      </c>
      <c r="K117" s="33" t="s">
        <v>211</v>
      </c>
      <c r="L117" s="33" t="s">
        <v>212</v>
      </c>
      <c r="M117" s="33">
        <v>2005</v>
      </c>
      <c r="N117" s="34"/>
      <c r="P117" s="564">
        <v>2000</v>
      </c>
      <c r="Q117" s="565">
        <f t="shared" si="1"/>
        <v>1.3976148185739659</v>
      </c>
      <c r="R117" s="564">
        <v>394.1</v>
      </c>
      <c r="U117" s="565"/>
    </row>
    <row r="118" spans="2:21">
      <c r="B118" s="1" t="s">
        <v>207</v>
      </c>
      <c r="C118" s="19" t="s">
        <v>218</v>
      </c>
      <c r="D118" s="9">
        <f>I118/$D108</f>
        <v>5.8333333333333339</v>
      </c>
      <c r="E118" s="18">
        <f>J118/$D108</f>
        <v>20.833333333333336</v>
      </c>
      <c r="F118" s="39">
        <f>D118*$C111</f>
        <v>2.3333333333333335</v>
      </c>
      <c r="G118" s="14">
        <f>E118*$C111</f>
        <v>8.3333333333333339</v>
      </c>
      <c r="H118" s="33"/>
      <c r="I118" s="33">
        <v>7</v>
      </c>
      <c r="J118" s="33">
        <v>25</v>
      </c>
      <c r="K118" s="33" t="s">
        <v>219</v>
      </c>
      <c r="L118" s="33" t="s">
        <v>191</v>
      </c>
      <c r="M118" s="33"/>
      <c r="N118" s="34" t="s">
        <v>222</v>
      </c>
      <c r="U118" s="565"/>
    </row>
    <row r="119" spans="2:21">
      <c r="B119" s="1" t="s">
        <v>207</v>
      </c>
      <c r="C119" s="19" t="s">
        <v>218</v>
      </c>
      <c r="D119" s="9">
        <f>I119/$D108</f>
        <v>5.8333333333333339</v>
      </c>
      <c r="E119" s="18">
        <f>J119/$D108</f>
        <v>30</v>
      </c>
      <c r="F119" s="39">
        <f>D119*$C111</f>
        <v>2.3333333333333335</v>
      </c>
      <c r="G119" s="14">
        <f>E119*$C111</f>
        <v>12</v>
      </c>
      <c r="H119" s="33"/>
      <c r="I119" s="33">
        <v>7</v>
      </c>
      <c r="J119" s="33">
        <v>36</v>
      </c>
      <c r="K119" s="33" t="s">
        <v>219</v>
      </c>
      <c r="L119" s="33" t="s">
        <v>192</v>
      </c>
      <c r="M119" s="33"/>
      <c r="N119" s="34" t="s">
        <v>222</v>
      </c>
      <c r="U119" s="565"/>
    </row>
    <row r="120" spans="2:21">
      <c r="B120" s="25" t="s">
        <v>207</v>
      </c>
      <c r="C120" s="46" t="s">
        <v>218</v>
      </c>
      <c r="D120" s="43">
        <f>I120/$D108*$Q114</f>
        <v>17.139656460044808</v>
      </c>
      <c r="E120" s="20">
        <f>J120/$D108*$Q114</f>
        <v>17.139656460044808</v>
      </c>
      <c r="F120" s="49">
        <f>D120*$C111</f>
        <v>6.8558625840179239</v>
      </c>
      <c r="G120" s="16">
        <f>E120*$C111</f>
        <v>6.8558625840179239</v>
      </c>
      <c r="H120" s="35" t="s">
        <v>223</v>
      </c>
      <c r="I120" s="35">
        <v>15</v>
      </c>
      <c r="J120" s="35">
        <v>15</v>
      </c>
      <c r="K120" s="35" t="s">
        <v>219</v>
      </c>
      <c r="L120" s="35" t="s">
        <v>220</v>
      </c>
      <c r="M120" s="35">
        <v>2003</v>
      </c>
      <c r="N120" s="36"/>
    </row>
    <row r="121" spans="2:21">
      <c r="B121" s="1"/>
      <c r="C121" s="19"/>
      <c r="D121" s="402"/>
      <c r="E121" s="19"/>
      <c r="F121" s="8"/>
      <c r="G121" s="15"/>
      <c r="H121" s="33"/>
      <c r="I121" s="33"/>
      <c r="J121" s="33"/>
      <c r="K121" s="33"/>
      <c r="L121" s="33"/>
      <c r="M121" s="33"/>
      <c r="N121" s="34"/>
    </row>
    <row r="122" spans="2:21">
      <c r="B122" s="6" t="s">
        <v>187</v>
      </c>
      <c r="C122" s="45" t="s">
        <v>139</v>
      </c>
      <c r="D122" s="42">
        <f>I122*$D$109*$Q$110</f>
        <v>114.05984012181197</v>
      </c>
      <c r="E122" s="21">
        <f>J122*$D$109*$Q$110</f>
        <v>185.34724019794444</v>
      </c>
      <c r="F122" s="48">
        <f t="shared" ref="F122:G125" si="3">D122*$C$111</f>
        <v>45.623936048724794</v>
      </c>
      <c r="G122" s="22">
        <f t="shared" si="3"/>
        <v>74.138896079177783</v>
      </c>
      <c r="H122" s="31" t="s">
        <v>225</v>
      </c>
      <c r="I122" s="31">
        <v>80</v>
      </c>
      <c r="J122" s="31">
        <v>130</v>
      </c>
      <c r="K122" s="31" t="s">
        <v>210</v>
      </c>
      <c r="L122" s="31" t="s">
        <v>192</v>
      </c>
      <c r="M122" s="31">
        <v>2007</v>
      </c>
      <c r="N122" s="32"/>
    </row>
    <row r="123" spans="2:21">
      <c r="B123" s="1" t="s">
        <v>187</v>
      </c>
      <c r="C123" s="19" t="s">
        <v>139</v>
      </c>
      <c r="D123" s="9">
        <f>I123*$D$109*$Q$110</f>
        <v>285.14960030452988</v>
      </c>
      <c r="E123" s="18">
        <f>J123*$D$109*$Q$110</f>
        <v>299.4070803197564</v>
      </c>
      <c r="F123" s="39">
        <f t="shared" si="3"/>
        <v>114.05984012181196</v>
      </c>
      <c r="G123" s="14">
        <f t="shared" si="3"/>
        <v>119.76283212790257</v>
      </c>
      <c r="H123" s="33" t="s">
        <v>225</v>
      </c>
      <c r="I123" s="33">
        <v>200</v>
      </c>
      <c r="J123" s="33">
        <v>210</v>
      </c>
      <c r="K123" s="33" t="s">
        <v>210</v>
      </c>
      <c r="L123" s="33" t="s">
        <v>192</v>
      </c>
      <c r="M123" s="33">
        <v>2007</v>
      </c>
      <c r="N123" s="34" t="s">
        <v>224</v>
      </c>
    </row>
    <row r="124" spans="2:21">
      <c r="B124" s="1" t="s">
        <v>187</v>
      </c>
      <c r="C124" s="19" t="s">
        <v>139</v>
      </c>
      <c r="D124" s="9">
        <f>I124*$Q110</f>
        <v>52.4172059383327</v>
      </c>
      <c r="E124" s="18">
        <f>J124*$Q110</f>
        <v>52.4172059383327</v>
      </c>
      <c r="F124" s="39">
        <f t="shared" si="3"/>
        <v>20.966882375333082</v>
      </c>
      <c r="G124" s="14">
        <f t="shared" si="3"/>
        <v>20.966882375333082</v>
      </c>
      <c r="H124" s="33" t="s">
        <v>225</v>
      </c>
      <c r="I124" s="33">
        <v>50</v>
      </c>
      <c r="J124" s="33">
        <v>50</v>
      </c>
      <c r="K124" s="33" t="s">
        <v>226</v>
      </c>
      <c r="L124" s="33" t="s">
        <v>227</v>
      </c>
      <c r="M124" s="33">
        <v>2007</v>
      </c>
      <c r="N124" s="34"/>
    </row>
    <row r="125" spans="2:21">
      <c r="B125" s="1" t="s">
        <v>187</v>
      </c>
      <c r="C125" s="19" t="s">
        <v>139</v>
      </c>
      <c r="D125" s="9">
        <f>I125*$D$109*$Q$110</f>
        <v>85.544880091358976</v>
      </c>
      <c r="E125" s="18">
        <f>J125*$D$109*$Q$110</f>
        <v>114.05984012181197</v>
      </c>
      <c r="F125" s="39">
        <f t="shared" si="3"/>
        <v>34.217952036543593</v>
      </c>
      <c r="G125" s="14">
        <f t="shared" si="3"/>
        <v>45.623936048724794</v>
      </c>
      <c r="H125" s="33" t="s">
        <v>204</v>
      </c>
      <c r="I125" s="33">
        <v>60</v>
      </c>
      <c r="J125" s="33">
        <v>80</v>
      </c>
      <c r="K125" s="33" t="s">
        <v>210</v>
      </c>
      <c r="L125" s="33" t="s">
        <v>191</v>
      </c>
      <c r="M125" s="33">
        <v>2007</v>
      </c>
      <c r="N125" s="34" t="s">
        <v>228</v>
      </c>
    </row>
    <row r="126" spans="2:21">
      <c r="B126" s="1" t="s">
        <v>207</v>
      </c>
      <c r="C126" s="19" t="s">
        <v>139</v>
      </c>
      <c r="D126" s="9">
        <f>F126/$C111</f>
        <v>147.05254164886799</v>
      </c>
      <c r="E126" s="18">
        <f>G126/$C111</f>
        <v>205.8735583084152</v>
      </c>
      <c r="F126" s="38">
        <f>I126*$Q112</f>
        <v>58.821016659547197</v>
      </c>
      <c r="G126" s="51">
        <f>J126*$Q112</f>
        <v>82.349423323366082</v>
      </c>
      <c r="H126" s="33" t="s">
        <v>213</v>
      </c>
      <c r="I126" s="33">
        <v>50</v>
      </c>
      <c r="J126" s="33">
        <v>70</v>
      </c>
      <c r="K126" s="33" t="s">
        <v>211</v>
      </c>
      <c r="L126" s="33" t="s">
        <v>212</v>
      </c>
      <c r="M126" s="33">
        <v>2005</v>
      </c>
      <c r="N126" s="34"/>
    </row>
    <row r="127" spans="2:21">
      <c r="B127" s="1" t="s">
        <v>207</v>
      </c>
      <c r="C127" s="19" t="s">
        <v>139</v>
      </c>
      <c r="D127" s="9">
        <f t="shared" ref="D127:E129" si="4">I127/$D$108*$Q$111</f>
        <v>50.530424339471573</v>
      </c>
      <c r="E127" s="18">
        <f t="shared" si="4"/>
        <v>128.6228983186549</v>
      </c>
      <c r="F127" s="39">
        <f t="shared" ref="F127:G132" si="5">D127*$C$111</f>
        <v>20.212169735788631</v>
      </c>
      <c r="G127" s="14">
        <f t="shared" si="5"/>
        <v>51.449159327461963</v>
      </c>
      <c r="H127" s="33"/>
      <c r="I127" s="33">
        <v>55</v>
      </c>
      <c r="J127" s="33">
        <v>140</v>
      </c>
      <c r="K127" s="33" t="s">
        <v>219</v>
      </c>
      <c r="L127" s="33" t="s">
        <v>192</v>
      </c>
      <c r="M127" s="33"/>
      <c r="N127" s="34"/>
    </row>
    <row r="128" spans="2:21">
      <c r="B128" s="1" t="s">
        <v>207</v>
      </c>
      <c r="C128" s="19" t="s">
        <v>139</v>
      </c>
      <c r="D128" s="9">
        <f t="shared" si="4"/>
        <v>41.343074459567653</v>
      </c>
      <c r="E128" s="18">
        <f t="shared" si="4"/>
        <v>82.686148919135306</v>
      </c>
      <c r="F128" s="39">
        <f t="shared" si="5"/>
        <v>16.537229783827062</v>
      </c>
      <c r="G128" s="14">
        <f t="shared" si="5"/>
        <v>33.074459567654124</v>
      </c>
      <c r="H128" s="33"/>
      <c r="I128" s="33">
        <v>45</v>
      </c>
      <c r="J128" s="33">
        <v>90</v>
      </c>
      <c r="K128" s="33" t="s">
        <v>219</v>
      </c>
      <c r="L128" s="33" t="s">
        <v>191</v>
      </c>
      <c r="M128" s="33"/>
      <c r="N128" s="34"/>
    </row>
    <row r="129" spans="2:14">
      <c r="B129" s="1" t="s">
        <v>207</v>
      </c>
      <c r="C129" s="19" t="s">
        <v>139</v>
      </c>
      <c r="D129" s="9">
        <f t="shared" si="4"/>
        <v>91.873498799039226</v>
      </c>
      <c r="E129" s="18">
        <f t="shared" si="4"/>
        <v>91.873498799039226</v>
      </c>
      <c r="F129" s="39">
        <f t="shared" si="5"/>
        <v>36.749399519615693</v>
      </c>
      <c r="G129" s="14">
        <f t="shared" si="5"/>
        <v>36.749399519615693</v>
      </c>
      <c r="H129" s="33"/>
      <c r="I129" s="33">
        <v>100</v>
      </c>
      <c r="J129" s="33">
        <v>100</v>
      </c>
      <c r="K129" s="33" t="s">
        <v>219</v>
      </c>
      <c r="L129" s="33" t="s">
        <v>192</v>
      </c>
      <c r="M129" s="33"/>
      <c r="N129" s="34"/>
    </row>
    <row r="130" spans="2:14">
      <c r="B130" s="1" t="s">
        <v>207</v>
      </c>
      <c r="C130" s="19" t="s">
        <v>139</v>
      </c>
      <c r="D130" s="9">
        <f>I130/$D108*$Q114</f>
        <v>79.985063480209107</v>
      </c>
      <c r="E130" s="18">
        <f>J130/$D108*$Q114</f>
        <v>182.82300224047796</v>
      </c>
      <c r="F130" s="39">
        <f t="shared" si="5"/>
        <v>31.994025392083643</v>
      </c>
      <c r="G130" s="14">
        <f t="shared" si="5"/>
        <v>73.129200896191193</v>
      </c>
      <c r="H130" s="33" t="s">
        <v>233</v>
      </c>
      <c r="I130" s="33">
        <v>70</v>
      </c>
      <c r="J130" s="33">
        <v>160</v>
      </c>
      <c r="K130" s="33" t="s">
        <v>219</v>
      </c>
      <c r="L130" s="33" t="s">
        <v>192</v>
      </c>
      <c r="M130" s="33">
        <v>2003</v>
      </c>
      <c r="N130" s="34" t="s">
        <v>231</v>
      </c>
    </row>
    <row r="131" spans="2:14">
      <c r="B131" s="1" t="s">
        <v>207</v>
      </c>
      <c r="C131" s="19" t="s">
        <v>139</v>
      </c>
      <c r="D131" s="9">
        <f>I131/$D108*$Q116</f>
        <v>58.204412883591175</v>
      </c>
      <c r="E131" s="18">
        <f>J131/$D108*$Q116</f>
        <v>128.04970834390056</v>
      </c>
      <c r="F131" s="39">
        <f t="shared" si="5"/>
        <v>23.281765153436471</v>
      </c>
      <c r="G131" s="14">
        <f t="shared" si="5"/>
        <v>51.219883337560226</v>
      </c>
      <c r="H131" s="33" t="s">
        <v>230</v>
      </c>
      <c r="I131" s="33">
        <v>50</v>
      </c>
      <c r="J131" s="33">
        <v>110</v>
      </c>
      <c r="K131" s="33" t="s">
        <v>219</v>
      </c>
      <c r="L131" s="33" t="s">
        <v>192</v>
      </c>
      <c r="M131" s="33">
        <v>2001</v>
      </c>
      <c r="N131" s="34" t="s">
        <v>229</v>
      </c>
    </row>
    <row r="132" spans="2:14">
      <c r="B132" s="1" t="s">
        <v>207</v>
      </c>
      <c r="C132" s="19" t="s">
        <v>139</v>
      </c>
      <c r="D132" s="9">
        <f>I132/$D108*$Q113</f>
        <v>82.665466006303461</v>
      </c>
      <c r="E132" s="18">
        <f>J132/$D108*$Q113</f>
        <v>123.99819900945519</v>
      </c>
      <c r="F132" s="39">
        <f t="shared" si="5"/>
        <v>33.066186402521389</v>
      </c>
      <c r="G132" s="14">
        <f t="shared" si="5"/>
        <v>49.59927960378208</v>
      </c>
      <c r="H132" s="33" t="s">
        <v>232</v>
      </c>
      <c r="I132" s="33">
        <v>80</v>
      </c>
      <c r="J132" s="33">
        <v>120</v>
      </c>
      <c r="K132" s="33" t="s">
        <v>219</v>
      </c>
      <c r="L132" s="33" t="s">
        <v>192</v>
      </c>
      <c r="M132" s="33">
        <v>2004</v>
      </c>
      <c r="N132" s="34"/>
    </row>
    <row r="133" spans="2:14">
      <c r="B133" s="56"/>
      <c r="C133" s="52"/>
      <c r="D133" s="53"/>
      <c r="E133" s="52"/>
      <c r="F133" s="53"/>
      <c r="G133" s="52"/>
      <c r="H133" s="54"/>
      <c r="I133" s="54"/>
      <c r="J133" s="54"/>
      <c r="K133" s="54"/>
      <c r="L133" s="54"/>
      <c r="M133" s="54"/>
      <c r="N133" s="57"/>
    </row>
    <row r="134" spans="2:14">
      <c r="B134" s="1" t="s">
        <v>207</v>
      </c>
      <c r="C134" s="19" t="s">
        <v>43</v>
      </c>
      <c r="D134" s="40">
        <f>F134*$C$111</f>
        <v>7.0585219991456647</v>
      </c>
      <c r="E134" s="50">
        <f>G134*$C$111</f>
        <v>14.117043998291329</v>
      </c>
      <c r="F134" s="38">
        <f>I134*Q112</f>
        <v>17.64630499786416</v>
      </c>
      <c r="G134" s="51">
        <f>J134*Q112</f>
        <v>35.29260999572832</v>
      </c>
      <c r="H134" s="33" t="s">
        <v>213</v>
      </c>
      <c r="I134" s="33">
        <v>15</v>
      </c>
      <c r="J134" s="33">
        <v>30</v>
      </c>
      <c r="K134" s="33" t="s">
        <v>211</v>
      </c>
      <c r="L134" s="33" t="s">
        <v>212</v>
      </c>
      <c r="M134" s="33">
        <v>2005</v>
      </c>
      <c r="N134" s="34"/>
    </row>
    <row r="135" spans="2:14" ht="15.75" thickBot="1">
      <c r="B135" s="5" t="s">
        <v>238</v>
      </c>
      <c r="C135" s="58" t="s">
        <v>43</v>
      </c>
      <c r="D135" s="59">
        <f>F135*$C$111</f>
        <v>2.0385971798752145</v>
      </c>
      <c r="E135" s="60">
        <f>G135*$C$111</f>
        <v>2.0385971798752145</v>
      </c>
      <c r="F135" s="61">
        <f>F116-C137</f>
        <v>5.0964929496880362</v>
      </c>
      <c r="G135" s="26">
        <f>G116-C137</f>
        <v>5.0964929496880362</v>
      </c>
      <c r="H135" s="37" t="s">
        <v>239</v>
      </c>
      <c r="I135" s="7"/>
      <c r="J135" s="7"/>
      <c r="K135" s="7"/>
      <c r="L135" s="7"/>
      <c r="M135" s="7"/>
      <c r="N135" s="27"/>
    </row>
    <row r="136" spans="2:14" ht="15.75" thickBot="1">
      <c r="F136" s="184" t="s">
        <v>301</v>
      </c>
      <c r="G136" s="185" t="s">
        <v>302</v>
      </c>
    </row>
    <row r="137" spans="2:14">
      <c r="B137" s="62" t="s">
        <v>234</v>
      </c>
      <c r="C137" s="63">
        <f>AVERAGE(F117:G120)</f>
        <v>6.3094910624931622</v>
      </c>
      <c r="D137" s="64" t="s">
        <v>211</v>
      </c>
      <c r="E137" s="63" t="s">
        <v>236</v>
      </c>
      <c r="F137" s="180">
        <f>AVERAGE(F117:F120)</f>
        <v>4.3511577291598282</v>
      </c>
      <c r="G137" s="181">
        <f>AVERAGE(G117:G120)</f>
        <v>8.2678243958264943</v>
      </c>
    </row>
    <row r="138" spans="2:14">
      <c r="B138" s="65" t="s">
        <v>235</v>
      </c>
      <c r="C138" s="66">
        <f>AVERAGE(F122:G132)</f>
        <v>48.799716156181965</v>
      </c>
      <c r="D138" s="67" t="s">
        <v>211</v>
      </c>
      <c r="E138" s="66" t="s">
        <v>236</v>
      </c>
      <c r="F138" s="180">
        <f>AVERAGE(F122,F124:F132)</f>
        <v>32.147056310742151</v>
      </c>
      <c r="G138" s="181">
        <f>AVERAGE(G122:G125,G127:G132)</f>
        <v>55.571392888340355</v>
      </c>
    </row>
    <row r="139" spans="2:14" ht="15.75" thickBot="1">
      <c r="B139" s="68" t="s">
        <v>237</v>
      </c>
      <c r="C139" s="69">
        <f>AVERAGE(F134:G135)</f>
        <v>15.782975223242136</v>
      </c>
      <c r="D139" s="70" t="s">
        <v>211</v>
      </c>
      <c r="E139" s="69" t="s">
        <v>236</v>
      </c>
      <c r="F139" s="182">
        <f>AVERAGE(F134:F135)</f>
        <v>11.371398973776099</v>
      </c>
      <c r="G139" s="183">
        <f>AVERAGE(G134:G135)</f>
        <v>20.194551472708177</v>
      </c>
    </row>
    <row r="141" spans="2:14" ht="15.75" thickBot="1"/>
    <row r="142" spans="2:14">
      <c r="B142" s="1085" t="s">
        <v>311</v>
      </c>
      <c r="C142" s="1086"/>
      <c r="D142" s="1086"/>
      <c r="E142" s="1086"/>
      <c r="F142" s="1087"/>
    </row>
    <row r="143" spans="2:14">
      <c r="B143" s="197"/>
      <c r="C143" s="198" t="s">
        <v>312</v>
      </c>
      <c r="D143" s="198" t="s">
        <v>313</v>
      </c>
      <c r="E143" s="198" t="s">
        <v>316</v>
      </c>
      <c r="F143" s="199" t="s">
        <v>317</v>
      </c>
    </row>
    <row r="144" spans="2:14">
      <c r="B144" s="1"/>
      <c r="C144" s="402" t="s">
        <v>314</v>
      </c>
      <c r="D144" s="402" t="s">
        <v>315</v>
      </c>
      <c r="E144" s="402" t="s">
        <v>87</v>
      </c>
      <c r="F144" s="433" t="s">
        <v>264</v>
      </c>
    </row>
    <row r="145" spans="2:6">
      <c r="B145" s="1" t="s">
        <v>218</v>
      </c>
      <c r="C145" s="402">
        <v>780</v>
      </c>
      <c r="D145" s="402">
        <v>2.15</v>
      </c>
      <c r="E145" s="402">
        <v>0</v>
      </c>
      <c r="F145" s="200">
        <f>Q117</f>
        <v>1.3976148185739659</v>
      </c>
    </row>
    <row r="146" spans="2:6" ht="15.75" thickBot="1">
      <c r="B146" s="5" t="s">
        <v>139</v>
      </c>
      <c r="C146" s="4">
        <v>5000</v>
      </c>
      <c r="D146" s="4">
        <v>6.28</v>
      </c>
      <c r="E146" s="201">
        <v>0.4</v>
      </c>
      <c r="F146" s="202">
        <f>F145</f>
        <v>1.3976148185739659</v>
      </c>
    </row>
  </sheetData>
  <mergeCells count="32">
    <mergeCell ref="C45:E45"/>
    <mergeCell ref="C4:E4"/>
    <mergeCell ref="C9:E9"/>
    <mergeCell ref="N9:O9"/>
    <mergeCell ref="Q9:S9"/>
    <mergeCell ref="N10:O10"/>
    <mergeCell ref="Q10:S10"/>
    <mergeCell ref="C17:E17"/>
    <mergeCell ref="C24:E24"/>
    <mergeCell ref="C34:E34"/>
    <mergeCell ref="N34:Q34"/>
    <mergeCell ref="P39:Q39"/>
    <mergeCell ref="C78:E78"/>
    <mergeCell ref="C48:E48"/>
    <mergeCell ref="C52:E52"/>
    <mergeCell ref="N52:R53"/>
    <mergeCell ref="N54:O54"/>
    <mergeCell ref="F56:F62"/>
    <mergeCell ref="N57:P57"/>
    <mergeCell ref="N62:R62"/>
    <mergeCell ref="C71:E71"/>
    <mergeCell ref="N71:P71"/>
    <mergeCell ref="N72:P72"/>
    <mergeCell ref="P73:P75"/>
    <mergeCell ref="C74:E74"/>
    <mergeCell ref="B142:F142"/>
    <mergeCell ref="N82:P82"/>
    <mergeCell ref="F83:F89"/>
    <mergeCell ref="C97:F97"/>
    <mergeCell ref="D114:E114"/>
    <mergeCell ref="F114:G114"/>
    <mergeCell ref="I114:N114"/>
  </mergeCell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dimension ref="A2:AD146"/>
  <sheetViews>
    <sheetView workbookViewId="0"/>
  </sheetViews>
  <sheetFormatPr baseColWidth="10" defaultRowHeight="15"/>
  <cols>
    <col min="1" max="1" width="11.42578125" style="564"/>
    <col min="2" max="2" width="18.42578125" style="564" customWidth="1"/>
    <col min="3" max="3" width="44.5703125" style="564" customWidth="1"/>
    <col min="4" max="4" width="23" style="564" bestFit="1" customWidth="1"/>
    <col min="5" max="5" width="11.42578125" style="564"/>
    <col min="6" max="6" width="23" style="564" customWidth="1"/>
    <col min="7" max="7" width="11.42578125" style="564"/>
    <col min="8" max="8" width="19.42578125" style="564" customWidth="1"/>
    <col min="9" max="9" width="8.28515625" style="564" customWidth="1"/>
    <col min="10" max="13" width="11.42578125" style="564"/>
    <col min="14" max="14" width="31.42578125" style="564" customWidth="1"/>
    <col min="15" max="15" width="23.42578125" style="564" customWidth="1"/>
    <col min="16" max="16" width="9.85546875" style="564" customWidth="1"/>
    <col min="17" max="17" width="16.5703125" style="564" customWidth="1"/>
    <col min="18" max="18" width="11.140625" style="564" customWidth="1"/>
    <col min="19" max="19" width="28.140625" style="564" customWidth="1"/>
    <col min="20" max="16384" width="11.42578125" style="564"/>
  </cols>
  <sheetData>
    <row r="2" spans="1:22" ht="27.75">
      <c r="A2" s="75"/>
      <c r="B2" s="75"/>
      <c r="C2" s="206" t="s">
        <v>272</v>
      </c>
      <c r="D2" s="140"/>
      <c r="E2" s="140"/>
      <c r="F2" s="140"/>
      <c r="G2" s="140"/>
      <c r="H2" s="140"/>
      <c r="I2" s="140"/>
      <c r="J2" s="140"/>
      <c r="K2" s="140"/>
      <c r="L2" s="140"/>
      <c r="M2" s="140"/>
      <c r="N2" s="206" t="s">
        <v>327</v>
      </c>
      <c r="O2" s="140"/>
      <c r="P2" s="140"/>
      <c r="Q2" s="140"/>
      <c r="R2" s="75"/>
      <c r="S2" s="76"/>
      <c r="T2" s="75"/>
      <c r="U2" s="75"/>
      <c r="V2" s="75"/>
    </row>
    <row r="3" spans="1:22" ht="28.5" thickBot="1">
      <c r="A3" s="93"/>
      <c r="B3" s="93"/>
      <c r="C3" s="154"/>
      <c r="D3" s="154"/>
      <c r="E3" s="154"/>
      <c r="F3" s="154"/>
      <c r="G3" s="154"/>
      <c r="H3" s="154"/>
      <c r="I3" s="154"/>
      <c r="J3" s="154"/>
      <c r="K3" s="154"/>
      <c r="L3" s="154"/>
      <c r="M3" s="154"/>
      <c r="N3" s="154"/>
      <c r="O3" s="154"/>
      <c r="P3" s="154"/>
      <c r="Q3" s="154"/>
      <c r="R3" s="154"/>
      <c r="S3" s="93"/>
      <c r="T3" s="97"/>
      <c r="U3" s="93"/>
      <c r="V3" s="93"/>
    </row>
    <row r="4" spans="1:22" ht="27.75">
      <c r="A4" s="93"/>
      <c r="B4" s="93"/>
      <c r="C4" s="1050" t="s">
        <v>273</v>
      </c>
      <c r="D4" s="1051"/>
      <c r="E4" s="1052"/>
      <c r="F4" s="154"/>
      <c r="G4" s="154"/>
      <c r="H4" s="154"/>
      <c r="I4" s="154"/>
      <c r="J4" s="154"/>
      <c r="K4" s="154"/>
      <c r="L4" s="154"/>
      <c r="M4" s="154"/>
      <c r="N4" s="154"/>
      <c r="O4" s="154"/>
      <c r="P4" s="154"/>
      <c r="Q4" s="154"/>
      <c r="R4" s="154"/>
      <c r="S4" s="93"/>
      <c r="T4" s="97"/>
      <c r="U4" s="93"/>
      <c r="V4" s="93"/>
    </row>
    <row r="5" spans="1:22" ht="27.75">
      <c r="A5" s="93"/>
      <c r="B5" s="93"/>
      <c r="C5" s="158" t="s">
        <v>1167</v>
      </c>
      <c r="D5" s="157">
        <v>300</v>
      </c>
      <c r="E5" s="159" t="s">
        <v>409</v>
      </c>
      <c r="F5" s="154"/>
      <c r="G5" s="154"/>
      <c r="H5" s="154"/>
      <c r="I5" s="154"/>
      <c r="J5" s="154"/>
      <c r="K5" s="154"/>
      <c r="L5" s="154"/>
      <c r="M5" s="154"/>
      <c r="N5" s="154"/>
      <c r="O5" s="154"/>
      <c r="P5" s="154"/>
      <c r="Q5" s="154"/>
      <c r="R5" s="154"/>
      <c r="S5" s="93"/>
      <c r="T5" s="97"/>
      <c r="U5" s="93"/>
      <c r="V5" s="93"/>
    </row>
    <row r="6" spans="1:22" ht="27.75">
      <c r="A6" s="93"/>
      <c r="B6" s="93"/>
      <c r="C6" s="158" t="s">
        <v>1168</v>
      </c>
      <c r="D6" s="612">
        <f>D5/'Liquid fuels - emission calc.'!D90</f>
        <v>286.59212757159344</v>
      </c>
      <c r="E6" s="159" t="s">
        <v>1021</v>
      </c>
      <c r="F6" s="154"/>
      <c r="G6" s="154"/>
      <c r="H6" s="154"/>
      <c r="I6" s="154"/>
      <c r="J6" s="154"/>
      <c r="K6" s="154"/>
      <c r="L6" s="154"/>
      <c r="M6" s="154"/>
      <c r="N6" s="154"/>
      <c r="O6" s="154"/>
      <c r="P6" s="154"/>
      <c r="Q6" s="154"/>
      <c r="R6" s="154"/>
      <c r="S6" s="93"/>
      <c r="T6" s="97"/>
      <c r="U6" s="93"/>
      <c r="V6" s="93"/>
    </row>
    <row r="7" spans="1:22" ht="28.5" thickBot="1">
      <c r="A7" s="93"/>
      <c r="B7" s="93"/>
      <c r="C7" s="155" t="s">
        <v>274</v>
      </c>
      <c r="D7" s="217">
        <f>1-D5/'Liquid fuels - emission calc.'!D92</f>
        <v>0.4</v>
      </c>
      <c r="E7" s="156"/>
      <c r="F7" s="154"/>
      <c r="G7" s="154"/>
      <c r="H7" s="154"/>
      <c r="I7" s="154"/>
      <c r="J7" s="154"/>
      <c r="K7" s="154"/>
      <c r="L7" s="154"/>
      <c r="M7" s="154"/>
      <c r="N7" s="154"/>
      <c r="O7" s="154"/>
      <c r="P7" s="154"/>
      <c r="Q7" s="154"/>
      <c r="R7" s="154"/>
      <c r="S7" s="93"/>
      <c r="T7" s="97"/>
      <c r="U7" s="93"/>
      <c r="V7" s="93"/>
    </row>
    <row r="8" spans="1:22" ht="15.75" thickBot="1">
      <c r="A8" s="93"/>
      <c r="B8" s="93"/>
      <c r="C8" s="93"/>
      <c r="D8" s="93"/>
      <c r="E8" s="93"/>
      <c r="F8" s="93"/>
      <c r="G8" s="93"/>
      <c r="H8" s="93"/>
      <c r="I8" s="93"/>
      <c r="J8" s="93"/>
      <c r="K8" s="93"/>
      <c r="L8" s="93"/>
      <c r="M8" s="93"/>
      <c r="N8" s="97"/>
      <c r="O8" s="97"/>
      <c r="P8" s="97"/>
      <c r="Q8" s="97"/>
      <c r="R8" s="93"/>
      <c r="S8" s="93"/>
      <c r="T8" s="97"/>
      <c r="U8" s="93"/>
      <c r="V8" s="93"/>
    </row>
    <row r="9" spans="1:22">
      <c r="A9" s="71"/>
      <c r="B9" s="71"/>
      <c r="C9" s="1088" t="s">
        <v>111</v>
      </c>
      <c r="D9" s="1089"/>
      <c r="E9" s="1090"/>
      <c r="F9" s="136"/>
      <c r="G9" s="71"/>
      <c r="H9" s="71"/>
      <c r="I9" s="71"/>
      <c r="J9" s="71"/>
      <c r="K9" s="71"/>
      <c r="L9" s="71"/>
      <c r="M9" s="71"/>
      <c r="N9" s="1088" t="s">
        <v>307</v>
      </c>
      <c r="O9" s="1090"/>
      <c r="P9" s="71"/>
      <c r="Q9" s="1088" t="s">
        <v>308</v>
      </c>
      <c r="R9" s="1089"/>
      <c r="S9" s="1090"/>
      <c r="T9" s="71"/>
      <c r="U9" s="71"/>
      <c r="V9" s="71"/>
    </row>
    <row r="10" spans="1:22">
      <c r="A10" s="71"/>
      <c r="B10" s="71"/>
      <c r="C10" s="99" t="s">
        <v>112</v>
      </c>
      <c r="D10" s="98"/>
      <c r="E10" s="109"/>
      <c r="F10" s="88"/>
      <c r="G10" s="71"/>
      <c r="H10" s="71"/>
      <c r="I10" s="71"/>
      <c r="J10" s="71"/>
      <c r="K10" s="71"/>
      <c r="L10" s="71"/>
      <c r="M10" s="71"/>
      <c r="N10" s="1117" t="s">
        <v>21</v>
      </c>
      <c r="O10" s="1119"/>
      <c r="P10" s="71"/>
      <c r="Q10" s="1121" t="s">
        <v>309</v>
      </c>
      <c r="R10" s="1122"/>
      <c r="S10" s="1123"/>
      <c r="T10" s="71"/>
      <c r="U10" s="71"/>
      <c r="V10" s="71"/>
    </row>
    <row r="11" spans="1:22" ht="18.75">
      <c r="A11" s="71"/>
      <c r="B11" s="71"/>
      <c r="C11" s="80" t="s">
        <v>275</v>
      </c>
      <c r="D11" s="147" t="s">
        <v>44</v>
      </c>
      <c r="E11" s="84" t="s">
        <v>63</v>
      </c>
      <c r="F11" s="88"/>
      <c r="G11" s="71"/>
      <c r="H11" s="71"/>
      <c r="I11" s="71"/>
      <c r="J11" s="71"/>
      <c r="K11" s="71"/>
      <c r="L11" s="71"/>
      <c r="M11" s="71"/>
      <c r="N11" s="691"/>
      <c r="O11" s="692"/>
      <c r="P11" s="71"/>
      <c r="Q11" s="192" t="s">
        <v>310</v>
      </c>
      <c r="R11" s="193">
        <f>D18</f>
        <v>400</v>
      </c>
      <c r="S11" s="629" t="s">
        <v>409</v>
      </c>
      <c r="T11" s="71"/>
      <c r="U11" s="71"/>
      <c r="V11" s="71"/>
    </row>
    <row r="12" spans="1:22" ht="18.75">
      <c r="A12" s="71"/>
      <c r="B12" s="71"/>
      <c r="C12" s="80" t="s">
        <v>276</v>
      </c>
      <c r="D12" s="163">
        <v>400</v>
      </c>
      <c r="E12" s="159" t="s">
        <v>409</v>
      </c>
      <c r="F12" s="88"/>
      <c r="G12" s="71"/>
      <c r="H12" s="71"/>
      <c r="I12" s="71"/>
      <c r="J12" s="71"/>
      <c r="K12" s="71"/>
      <c r="L12" s="71"/>
      <c r="M12" s="71"/>
      <c r="N12" s="1135" t="s">
        <v>935</v>
      </c>
      <c r="O12" s="1136"/>
      <c r="P12" s="71"/>
      <c r="Q12" s="194" t="s">
        <v>279</v>
      </c>
      <c r="R12" s="689" t="s">
        <v>280</v>
      </c>
      <c r="S12" s="161"/>
      <c r="T12" s="71"/>
      <c r="U12" s="71"/>
      <c r="V12" s="71"/>
    </row>
    <row r="13" spans="1:22" ht="18.75">
      <c r="A13" s="71"/>
      <c r="B13" s="71"/>
      <c r="C13" s="77" t="s">
        <v>61</v>
      </c>
      <c r="D13" s="98">
        <f>IF(D11="y",1-D12/'Liquid fuels - emission calc.'!D92,"n/a")</f>
        <v>0.19999999999999996</v>
      </c>
      <c r="E13" s="84"/>
      <c r="F13" s="88"/>
      <c r="G13" s="71"/>
      <c r="H13" s="71"/>
      <c r="I13" s="71"/>
      <c r="J13" s="71"/>
      <c r="K13" s="71"/>
      <c r="L13" s="71"/>
      <c r="M13" s="71"/>
      <c r="N13" s="1053"/>
      <c r="O13" s="1120"/>
      <c r="P13" s="71"/>
      <c r="Q13" s="195">
        <v>0.6</v>
      </c>
      <c r="R13" s="152">
        <f>R$11*(1-Q13)</f>
        <v>160</v>
      </c>
      <c r="S13" s="159" t="s">
        <v>409</v>
      </c>
      <c r="T13" s="71"/>
      <c r="U13" s="71"/>
      <c r="V13" s="71"/>
    </row>
    <row r="14" spans="1:22" ht="18.75">
      <c r="A14" s="71"/>
      <c r="B14" s="71"/>
      <c r="C14" s="77" t="s">
        <v>1169</v>
      </c>
      <c r="D14" s="98">
        <f>IF(D11="y",('Liquid fuels - emission calc.'!D92-D12)/('Liquid fuels - emission calc.'!D92-D5),"n/a")</f>
        <v>0.5</v>
      </c>
      <c r="E14" s="84"/>
      <c r="F14" s="88"/>
      <c r="G14" s="71"/>
      <c r="H14" s="71"/>
      <c r="I14" s="71"/>
      <c r="J14" s="71"/>
      <c r="K14" s="71"/>
      <c r="L14" s="71"/>
      <c r="M14" s="71"/>
      <c r="N14" s="1053"/>
      <c r="O14" s="1120"/>
      <c r="P14" s="71"/>
      <c r="Q14" s="195">
        <v>0.7</v>
      </c>
      <c r="R14" s="152">
        <f>R$11*(1-Q14)</f>
        <v>120.00000000000001</v>
      </c>
      <c r="S14" s="159" t="s">
        <v>409</v>
      </c>
      <c r="T14" s="71"/>
      <c r="U14" s="71"/>
      <c r="V14" s="71"/>
    </row>
    <row r="15" spans="1:22" ht="18.75">
      <c r="A15" s="71"/>
      <c r="B15" s="71"/>
      <c r="C15" s="77" t="s">
        <v>62</v>
      </c>
      <c r="D15" s="218">
        <f>IF(D11="y",1-D5/D12,D7)</f>
        <v>0.25</v>
      </c>
      <c r="E15" s="84"/>
      <c r="F15" s="88"/>
      <c r="G15" s="71"/>
      <c r="H15" s="71"/>
      <c r="I15" s="71"/>
      <c r="J15" s="71"/>
      <c r="K15" s="71"/>
      <c r="L15" s="71"/>
      <c r="M15" s="71"/>
      <c r="N15" s="1053"/>
      <c r="O15" s="1120"/>
      <c r="P15" s="71"/>
      <c r="Q15" s="195">
        <v>0.8</v>
      </c>
      <c r="R15" s="152">
        <f>R$11*(1-Q15)</f>
        <v>79.999999999999986</v>
      </c>
      <c r="S15" s="159" t="s">
        <v>409</v>
      </c>
      <c r="T15" s="71"/>
      <c r="U15" s="71"/>
      <c r="V15" s="71"/>
    </row>
    <row r="16" spans="1:22" ht="19.5" thickBot="1">
      <c r="A16" s="71"/>
      <c r="B16" s="71"/>
      <c r="C16" s="80"/>
      <c r="D16" s="88"/>
      <c r="E16" s="81"/>
      <c r="F16" s="88"/>
      <c r="G16" s="71"/>
      <c r="H16" s="71"/>
      <c r="I16" s="71"/>
      <c r="J16" s="71"/>
      <c r="K16" s="71"/>
      <c r="L16" s="71"/>
      <c r="M16" s="71"/>
      <c r="N16" s="1137"/>
      <c r="O16" s="1138"/>
      <c r="P16" s="71"/>
      <c r="Q16" s="196">
        <v>0.9</v>
      </c>
      <c r="R16" s="118">
        <f>R$11*(1-Q16)</f>
        <v>39.999999999999993</v>
      </c>
      <c r="S16" s="156" t="s">
        <v>409</v>
      </c>
      <c r="T16" s="71"/>
      <c r="U16" s="71"/>
      <c r="V16" s="71"/>
    </row>
    <row r="17" spans="1:22">
      <c r="A17" s="71"/>
      <c r="B17" s="71"/>
      <c r="C17" s="1124" t="s">
        <v>116</v>
      </c>
      <c r="D17" s="1125"/>
      <c r="E17" s="1126"/>
      <c r="F17" s="88"/>
      <c r="G17" s="71"/>
      <c r="H17" s="71"/>
      <c r="I17" s="71"/>
      <c r="J17" s="71"/>
      <c r="K17" s="71"/>
      <c r="L17" s="71"/>
      <c r="M17" s="71"/>
      <c r="N17" s="104"/>
      <c r="O17" s="105"/>
      <c r="P17" s="71"/>
      <c r="Q17" s="71"/>
      <c r="R17" s="71"/>
      <c r="S17" s="71"/>
      <c r="T17" s="72"/>
      <c r="U17" s="71"/>
      <c r="V17" s="71"/>
    </row>
    <row r="18" spans="1:22" ht="18.75">
      <c r="A18" s="71"/>
      <c r="B18" s="71"/>
      <c r="C18" s="80" t="s">
        <v>1022</v>
      </c>
      <c r="D18" s="164">
        <f>IF(D11="Y",D12,'Liquid fuels - emission calc.'!D92)</f>
        <v>400</v>
      </c>
      <c r="E18" s="159" t="s">
        <v>409</v>
      </c>
      <c r="F18" s="88"/>
      <c r="G18" s="71"/>
      <c r="H18" s="71"/>
      <c r="I18" s="71"/>
      <c r="J18" s="71"/>
      <c r="K18" s="71"/>
      <c r="L18" s="71"/>
      <c r="M18" s="71"/>
      <c r="N18" s="106"/>
      <c r="O18" s="105"/>
      <c r="P18" s="71"/>
      <c r="Q18" s="71"/>
      <c r="R18" s="71"/>
      <c r="S18" s="71"/>
      <c r="T18" s="72"/>
      <c r="U18" s="71"/>
      <c r="V18" s="71"/>
    </row>
    <row r="19" spans="1:22">
      <c r="A19" s="71"/>
      <c r="B19" s="71"/>
      <c r="C19" s="77"/>
      <c r="D19" s="694"/>
      <c r="E19" s="697"/>
      <c r="F19" s="88"/>
      <c r="G19" s="71"/>
      <c r="H19" s="71"/>
      <c r="I19" s="71"/>
      <c r="J19" s="71"/>
      <c r="K19" s="71"/>
      <c r="L19" s="71"/>
      <c r="M19" s="71"/>
      <c r="N19" s="106"/>
      <c r="O19" s="105"/>
      <c r="P19" s="71"/>
      <c r="Q19" s="71"/>
      <c r="R19" s="71"/>
      <c r="S19" s="71"/>
      <c r="T19" s="72"/>
      <c r="U19" s="71"/>
      <c r="V19" s="71"/>
    </row>
    <row r="20" spans="1:22" ht="18.75">
      <c r="A20" s="71"/>
      <c r="B20" s="71"/>
      <c r="C20" s="80" t="s">
        <v>117</v>
      </c>
      <c r="D20" s="163">
        <v>150</v>
      </c>
      <c r="E20" s="159" t="s">
        <v>409</v>
      </c>
      <c r="F20" s="88"/>
      <c r="G20" s="71"/>
      <c r="H20" s="71"/>
      <c r="I20" s="71"/>
      <c r="J20" s="71"/>
      <c r="K20" s="71"/>
      <c r="L20" s="71"/>
      <c r="M20" s="71"/>
      <c r="N20" s="71"/>
      <c r="O20" s="105"/>
      <c r="P20" s="71"/>
      <c r="Q20" s="71"/>
      <c r="R20" s="71"/>
      <c r="S20" s="71"/>
      <c r="T20" s="72"/>
      <c r="U20" s="71"/>
      <c r="V20" s="71"/>
    </row>
    <row r="21" spans="1:22">
      <c r="A21" s="71"/>
      <c r="B21" s="71"/>
      <c r="C21" s="80" t="s">
        <v>64</v>
      </c>
      <c r="D21" s="613">
        <f>1-D20/'Liquid fuels - emission calc.'!D92</f>
        <v>0.7</v>
      </c>
      <c r="E21" s="109"/>
      <c r="F21" s="88"/>
      <c r="G21" s="71"/>
      <c r="H21" s="71"/>
      <c r="I21" s="71"/>
      <c r="J21" s="71"/>
      <c r="K21" s="71"/>
      <c r="L21" s="71"/>
      <c r="M21" s="71"/>
      <c r="N21" s="71"/>
      <c r="O21" s="72"/>
      <c r="P21" s="72"/>
      <c r="Q21" s="88"/>
      <c r="R21" s="71"/>
      <c r="S21" s="72"/>
      <c r="T21" s="71"/>
      <c r="U21" s="71"/>
      <c r="V21" s="71"/>
    </row>
    <row r="22" spans="1:22" ht="15.75" thickBot="1">
      <c r="A22" s="71"/>
      <c r="B22" s="71"/>
      <c r="C22" s="86" t="s">
        <v>281</v>
      </c>
      <c r="D22" s="219">
        <f>1-D20/D5</f>
        <v>0.5</v>
      </c>
      <c r="E22" s="85"/>
      <c r="F22" s="402"/>
      <c r="H22" s="71"/>
      <c r="I22" s="71"/>
      <c r="J22" s="71"/>
      <c r="K22" s="71"/>
      <c r="L22" s="71"/>
      <c r="M22" s="71"/>
      <c r="N22" s="71"/>
      <c r="O22" s="72"/>
      <c r="P22" s="72"/>
      <c r="Q22" s="88"/>
      <c r="R22" s="71"/>
      <c r="S22" s="72"/>
      <c r="T22" s="71"/>
      <c r="U22" s="71"/>
      <c r="V22" s="71"/>
    </row>
    <row r="23" spans="1:22" ht="15.75" thickBot="1">
      <c r="A23" s="71"/>
      <c r="B23" s="71"/>
      <c r="C23" s="71"/>
      <c r="D23" s="71"/>
      <c r="E23" s="71"/>
      <c r="F23" s="88"/>
      <c r="G23" s="71"/>
      <c r="H23" s="71"/>
      <c r="I23" s="71"/>
      <c r="J23" s="71"/>
      <c r="K23" s="71"/>
      <c r="L23" s="71"/>
      <c r="M23" s="71"/>
      <c r="N23" s="71"/>
      <c r="O23" s="72"/>
      <c r="P23" s="72"/>
      <c r="Q23" s="88"/>
      <c r="R23" s="71"/>
      <c r="S23" s="72"/>
      <c r="T23" s="71"/>
      <c r="U23" s="71"/>
      <c r="V23" s="71"/>
    </row>
    <row r="24" spans="1:22">
      <c r="A24" s="71"/>
      <c r="B24" s="71"/>
      <c r="C24" s="1127" t="s">
        <v>1026</v>
      </c>
      <c r="D24" s="1128"/>
      <c r="E24" s="1129"/>
      <c r="F24" s="88"/>
      <c r="G24" s="71"/>
      <c r="H24" s="71"/>
      <c r="I24" s="71"/>
      <c r="J24" s="71"/>
      <c r="K24" s="71"/>
      <c r="L24" s="71"/>
      <c r="M24" s="71"/>
      <c r="N24" s="71"/>
      <c r="O24" s="72"/>
      <c r="P24" s="72"/>
      <c r="Q24" s="139"/>
      <c r="R24" s="71"/>
      <c r="S24" s="72"/>
      <c r="T24" s="71"/>
      <c r="U24" s="71"/>
      <c r="V24" s="71"/>
    </row>
    <row r="25" spans="1:22" ht="18.75">
      <c r="A25" s="71"/>
      <c r="B25" s="71"/>
      <c r="C25" s="77" t="s">
        <v>1170</v>
      </c>
      <c r="D25" s="160">
        <f>IF(D26="y",D20,(IF(D27="y",D20,D18)))</f>
        <v>400</v>
      </c>
      <c r="E25" s="159" t="s">
        <v>409</v>
      </c>
      <c r="F25" s="71"/>
      <c r="G25" s="71"/>
      <c r="H25" s="71"/>
      <c r="I25" s="71"/>
      <c r="J25" s="71"/>
      <c r="K25" s="71"/>
      <c r="L25" s="71"/>
      <c r="M25" s="71"/>
      <c r="N25" s="71"/>
      <c r="O25" s="72"/>
      <c r="P25" s="72"/>
      <c r="Q25" s="88"/>
      <c r="R25" s="71"/>
      <c r="S25" s="72"/>
      <c r="T25" s="71"/>
      <c r="U25" s="71"/>
      <c r="V25" s="71"/>
    </row>
    <row r="26" spans="1:22">
      <c r="A26" s="71"/>
      <c r="B26" s="71"/>
      <c r="C26" s="80" t="s">
        <v>1024</v>
      </c>
      <c r="D26" s="147" t="s">
        <v>141</v>
      </c>
      <c r="E26" s="84" t="s">
        <v>63</v>
      </c>
      <c r="F26" s="71"/>
      <c r="G26" s="71"/>
      <c r="H26" s="71"/>
      <c r="I26" s="71"/>
      <c r="J26" s="71"/>
      <c r="K26" s="71"/>
      <c r="L26" s="71"/>
      <c r="M26" s="71"/>
      <c r="N26" s="72"/>
      <c r="O26" s="72"/>
      <c r="P26" s="72"/>
      <c r="Q26" s="88"/>
      <c r="R26" s="71"/>
      <c r="S26" s="72"/>
      <c r="T26" s="71"/>
      <c r="U26" s="71"/>
      <c r="V26" s="71"/>
    </row>
    <row r="27" spans="1:22">
      <c r="A27" s="71"/>
      <c r="B27" s="71"/>
      <c r="C27" s="80" t="s">
        <v>277</v>
      </c>
      <c r="D27" s="147" t="s">
        <v>141</v>
      </c>
      <c r="E27" s="84" t="s">
        <v>63</v>
      </c>
      <c r="F27" s="71"/>
      <c r="G27" s="71"/>
      <c r="H27" s="71"/>
      <c r="I27" s="71"/>
      <c r="J27" s="71"/>
      <c r="K27" s="71"/>
      <c r="L27" s="71"/>
      <c r="M27" s="71"/>
      <c r="N27" s="72"/>
      <c r="O27" s="72"/>
      <c r="P27" s="72"/>
      <c r="Q27" s="88"/>
      <c r="R27" s="71"/>
      <c r="S27" s="72"/>
      <c r="T27" s="71"/>
      <c r="U27" s="71"/>
      <c r="V27" s="71"/>
    </row>
    <row r="28" spans="1:22">
      <c r="A28" s="71"/>
      <c r="B28" s="71"/>
      <c r="C28" s="80" t="s">
        <v>1171</v>
      </c>
      <c r="D28" s="506" t="str">
        <f>IF(AND(D26="y",D27="y"),"N","Y")</f>
        <v>Y</v>
      </c>
      <c r="E28" s="81" t="s">
        <v>1025</v>
      </c>
      <c r="F28" s="71"/>
      <c r="G28" s="71"/>
      <c r="H28" s="71"/>
      <c r="I28" s="71"/>
      <c r="J28" s="71"/>
      <c r="K28" s="71"/>
      <c r="L28" s="71"/>
      <c r="M28" s="71"/>
      <c r="N28" s="72"/>
      <c r="O28" s="72"/>
      <c r="P28" s="72"/>
      <c r="Q28" s="88"/>
      <c r="R28" s="71"/>
      <c r="S28" s="71"/>
      <c r="T28" s="72"/>
      <c r="U28" s="71"/>
      <c r="V28" s="71"/>
    </row>
    <row r="29" spans="1:22" ht="15.75" thickBot="1">
      <c r="A29" s="71"/>
      <c r="B29" s="71"/>
      <c r="C29" s="86" t="s">
        <v>1172</v>
      </c>
      <c r="D29" s="614" t="str">
        <f>IF(D20&lt;=D5,"OK","ERROR")</f>
        <v>OK</v>
      </c>
      <c r="E29" s="87" t="s">
        <v>1025</v>
      </c>
      <c r="F29" s="138"/>
      <c r="G29" s="71"/>
      <c r="H29" s="71"/>
      <c r="I29" s="71"/>
      <c r="J29" s="71"/>
      <c r="K29" s="71"/>
      <c r="L29" s="71"/>
      <c r="M29" s="71"/>
      <c r="N29" s="72"/>
      <c r="O29" s="72"/>
      <c r="P29" s="72"/>
      <c r="Q29" s="88"/>
      <c r="R29" s="71"/>
      <c r="S29" s="71"/>
      <c r="T29" s="72"/>
      <c r="U29" s="71"/>
      <c r="V29" s="71"/>
    </row>
    <row r="30" spans="1:22">
      <c r="A30" s="71"/>
      <c r="B30" s="71"/>
      <c r="F30" s="71"/>
      <c r="G30" s="71"/>
      <c r="H30" s="71"/>
      <c r="I30" s="71"/>
      <c r="J30" s="71"/>
      <c r="K30" s="71"/>
      <c r="L30" s="71"/>
      <c r="M30" s="71"/>
      <c r="N30" s="72"/>
      <c r="O30" s="72"/>
      <c r="P30" s="72"/>
      <c r="Q30" s="88"/>
      <c r="R30" s="71"/>
      <c r="S30" s="71"/>
      <c r="T30" s="72"/>
      <c r="U30" s="71"/>
      <c r="V30" s="71"/>
    </row>
    <row r="31" spans="1:22">
      <c r="A31" s="71"/>
      <c r="B31" s="71"/>
      <c r="C31" s="71"/>
      <c r="D31" s="112"/>
      <c r="E31" s="71"/>
      <c r="F31" s="71"/>
      <c r="G31" s="71"/>
      <c r="H31" s="71"/>
      <c r="I31" s="71"/>
      <c r="J31" s="71"/>
      <c r="K31" s="71"/>
      <c r="L31" s="71"/>
      <c r="M31" s="71"/>
      <c r="N31" s="72"/>
      <c r="O31" s="72"/>
      <c r="P31" s="72"/>
      <c r="Q31" s="88"/>
      <c r="R31" s="71"/>
      <c r="S31" s="71"/>
      <c r="T31" s="72"/>
      <c r="U31" s="71"/>
      <c r="V31" s="71"/>
    </row>
    <row r="32" spans="1:22" ht="27.75">
      <c r="A32" s="75"/>
      <c r="B32" s="140"/>
      <c r="C32" s="206" t="s">
        <v>184</v>
      </c>
      <c r="D32" s="140"/>
      <c r="E32" s="140"/>
      <c r="F32" s="140"/>
      <c r="G32" s="140"/>
      <c r="H32" s="140"/>
      <c r="I32" s="140"/>
      <c r="J32" s="140"/>
      <c r="K32" s="140"/>
      <c r="L32" s="140"/>
      <c r="M32" s="140"/>
      <c r="N32" s="206" t="s">
        <v>328</v>
      </c>
      <c r="O32" s="140"/>
      <c r="P32" s="140"/>
      <c r="Q32" s="140"/>
      <c r="R32" s="75"/>
      <c r="S32" s="75"/>
      <c r="T32" s="75"/>
      <c r="U32" s="75"/>
      <c r="V32" s="75"/>
    </row>
    <row r="33" spans="1:22" s="215" customFormat="1" ht="14.25" customHeight="1" thickBot="1">
      <c r="A33" s="71"/>
      <c r="B33" s="71"/>
      <c r="C33" s="71"/>
      <c r="D33" s="71"/>
      <c r="E33" s="71"/>
      <c r="F33" s="71"/>
      <c r="G33" s="71"/>
      <c r="H33" s="71"/>
      <c r="I33" s="71"/>
      <c r="J33" s="71"/>
      <c r="K33" s="71"/>
      <c r="L33" s="72"/>
      <c r="M33" s="72"/>
      <c r="N33" s="71"/>
      <c r="O33" s="72"/>
      <c r="P33" s="71"/>
      <c r="Q33" s="93"/>
      <c r="R33" s="93"/>
    </row>
    <row r="34" spans="1:22" s="215" customFormat="1" ht="14.25" customHeight="1" thickBot="1">
      <c r="A34" s="71"/>
      <c r="B34" s="71"/>
      <c r="C34" s="1114" t="s">
        <v>112</v>
      </c>
      <c r="D34" s="1115"/>
      <c r="E34" s="1116"/>
      <c r="F34" s="71"/>
      <c r="G34" s="89"/>
      <c r="H34" s="71"/>
      <c r="I34" s="71"/>
      <c r="J34" s="71"/>
      <c r="K34" s="71"/>
      <c r="L34" s="71"/>
      <c r="M34" s="136"/>
      <c r="N34" s="136"/>
      <c r="O34" s="71"/>
      <c r="P34" s="71"/>
      <c r="Q34" s="93"/>
      <c r="R34" s="93"/>
    </row>
    <row r="35" spans="1:22" s="215" customFormat="1" ht="14.25" customHeight="1">
      <c r="A35" s="71"/>
      <c r="B35" s="71"/>
      <c r="C35" s="80" t="s">
        <v>122</v>
      </c>
      <c r="D35" s="108">
        <f>IF(D11="y",('Liquid fuels - emission calc.'!D92-D12)/'Liquid fuels - emission calc.'!D90*'Liquid fuels - emission calc.'!D86/10^9,0)</f>
        <v>1156.0351555136665</v>
      </c>
      <c r="E35" s="142" t="s">
        <v>115</v>
      </c>
      <c r="F35" s="71"/>
      <c r="G35" s="71"/>
      <c r="H35" s="71"/>
      <c r="I35" s="71"/>
      <c r="J35" s="71"/>
      <c r="K35" s="71"/>
      <c r="L35" s="71"/>
      <c r="M35" s="687"/>
      <c r="N35" s="687"/>
      <c r="O35" s="71"/>
      <c r="P35" s="71"/>
      <c r="Q35" s="93"/>
      <c r="R35" s="93"/>
    </row>
    <row r="36" spans="1:22" s="215" customFormat="1" ht="14.25" customHeight="1">
      <c r="A36" s="71"/>
      <c r="B36" s="71"/>
      <c r="C36" s="80" t="s">
        <v>282</v>
      </c>
      <c r="D36" s="163">
        <v>20</v>
      </c>
      <c r="E36" s="142" t="s">
        <v>303</v>
      </c>
      <c r="F36" s="71" t="s">
        <v>304</v>
      </c>
      <c r="G36" s="71"/>
      <c r="H36" s="71"/>
      <c r="I36" s="71"/>
      <c r="J36" s="71"/>
      <c r="K36" s="71"/>
      <c r="L36" s="71"/>
      <c r="M36" s="72"/>
      <c r="N36" s="72"/>
      <c r="O36" s="71"/>
      <c r="P36" s="71"/>
      <c r="Q36" s="93"/>
      <c r="R36" s="93"/>
    </row>
    <row r="37" spans="1:22" s="215" customFormat="1" ht="14.25" customHeight="1">
      <c r="A37" s="71"/>
      <c r="B37" s="71"/>
      <c r="C37" s="80" t="s">
        <v>125</v>
      </c>
      <c r="D37" s="108">
        <f>IF(D11="n","n/a",D36*'Liquid fuels - emission calc.'!D20*1000)</f>
        <v>25000000</v>
      </c>
      <c r="E37" s="142" t="s">
        <v>123</v>
      </c>
      <c r="F37" s="71"/>
      <c r="G37" s="71"/>
      <c r="H37" s="71"/>
      <c r="I37" s="71"/>
      <c r="J37" s="71"/>
      <c r="K37" s="71"/>
      <c r="L37" s="71"/>
      <c r="M37" s="72"/>
      <c r="N37" s="72"/>
      <c r="O37" s="71"/>
      <c r="P37" s="71"/>
      <c r="Q37" s="93"/>
      <c r="R37" s="93"/>
    </row>
    <row r="38" spans="1:22" s="215" customFormat="1" ht="14.25" customHeight="1">
      <c r="A38" s="71"/>
      <c r="B38" s="71"/>
      <c r="C38" s="80" t="s">
        <v>34</v>
      </c>
      <c r="D38" s="108">
        <f>IF(D11="n","n/a",D37*'Liquid fuels - emission calc.'!J5)</f>
        <v>2248527.5092743286</v>
      </c>
      <c r="E38" s="142" t="s">
        <v>126</v>
      </c>
      <c r="F38" s="71"/>
      <c r="G38" s="71"/>
      <c r="H38" s="71"/>
      <c r="I38" s="71"/>
      <c r="J38" s="71"/>
      <c r="K38" s="71"/>
      <c r="L38" s="71"/>
      <c r="M38" s="72"/>
      <c r="N38" s="72"/>
      <c r="O38" s="71"/>
      <c r="P38" s="71"/>
      <c r="Q38" s="93"/>
      <c r="R38" s="93"/>
    </row>
    <row r="39" spans="1:22" s="215" customFormat="1" ht="14.25" customHeight="1">
      <c r="A39" s="71"/>
      <c r="B39" s="71"/>
      <c r="C39" s="80" t="s">
        <v>30</v>
      </c>
      <c r="D39" s="108">
        <f>IF(D11="n","n/a",D37*'Liquid fuels - emission calc.'!G4)</f>
        <v>500000</v>
      </c>
      <c r="E39" s="142" t="s">
        <v>126</v>
      </c>
      <c r="F39" s="71"/>
      <c r="G39" s="71"/>
      <c r="H39" s="71"/>
      <c r="I39" s="71"/>
      <c r="J39" s="71"/>
      <c r="K39" s="71"/>
      <c r="L39" s="71"/>
      <c r="M39" s="72"/>
      <c r="N39" s="72"/>
      <c r="O39" s="71"/>
      <c r="P39" s="71"/>
      <c r="Q39" s="93"/>
      <c r="R39" s="93"/>
    </row>
    <row r="40" spans="1:22" s="215" customFormat="1" ht="14.25" customHeight="1">
      <c r="A40" s="71"/>
      <c r="B40" s="71"/>
      <c r="C40" s="80"/>
      <c r="D40" s="108"/>
      <c r="E40" s="142"/>
      <c r="F40" s="71"/>
      <c r="G40" s="71"/>
      <c r="H40" s="71"/>
      <c r="I40" s="71"/>
      <c r="J40" s="71"/>
      <c r="K40" s="71"/>
      <c r="L40" s="71"/>
      <c r="M40" s="72"/>
      <c r="N40" s="72"/>
      <c r="O40" s="71"/>
      <c r="P40" s="71"/>
      <c r="Q40" s="93"/>
      <c r="R40" s="93"/>
    </row>
    <row r="41" spans="1:22" s="215" customFormat="1" ht="14.25" customHeight="1">
      <c r="A41" s="71"/>
      <c r="B41" s="71"/>
      <c r="C41" s="141" t="s">
        <v>36</v>
      </c>
      <c r="D41" s="606">
        <f>IF(D11="n","n/a",D39+D38)</f>
        <v>2748527.5092743286</v>
      </c>
      <c r="E41" s="143" t="s">
        <v>126</v>
      </c>
      <c r="F41" s="71"/>
      <c r="G41" s="71"/>
      <c r="H41" s="71"/>
      <c r="I41" s="71"/>
      <c r="J41" s="71"/>
      <c r="K41" s="71"/>
      <c r="L41" s="71"/>
      <c r="M41" s="72"/>
      <c r="N41" s="72"/>
      <c r="O41" s="71"/>
      <c r="P41" s="71"/>
      <c r="Q41" s="93"/>
      <c r="R41" s="93"/>
    </row>
    <row r="42" spans="1:22" s="215" customFormat="1" ht="14.25" customHeight="1" thickBot="1">
      <c r="A42" s="71"/>
      <c r="B42" s="71"/>
      <c r="C42" s="165" t="s">
        <v>37</v>
      </c>
      <c r="D42" s="672">
        <f>IF(D11="n","n/a",D41/D35)</f>
        <v>2377.5466482704519</v>
      </c>
      <c r="E42" s="166" t="s">
        <v>38</v>
      </c>
      <c r="F42" s="71"/>
      <c r="G42" s="71"/>
      <c r="H42" s="71"/>
      <c r="I42" s="71"/>
      <c r="J42" s="71"/>
      <c r="K42" s="71"/>
      <c r="L42" s="71"/>
      <c r="M42" s="72"/>
      <c r="N42" s="72"/>
      <c r="O42" s="71"/>
      <c r="P42" s="71"/>
      <c r="Q42" s="93"/>
      <c r="R42" s="93"/>
    </row>
    <row r="43" spans="1:22" s="215" customFormat="1" ht="14.25" customHeight="1">
      <c r="A43" s="71"/>
      <c r="B43" s="71"/>
      <c r="C43" s="71"/>
      <c r="D43" s="71"/>
      <c r="E43" s="71"/>
      <c r="F43" s="71"/>
      <c r="G43" s="71"/>
      <c r="H43" s="71"/>
      <c r="I43" s="71"/>
      <c r="J43" s="71"/>
      <c r="K43" s="71"/>
      <c r="L43" s="71"/>
      <c r="M43" s="72"/>
      <c r="N43" s="72"/>
      <c r="O43" s="71"/>
      <c r="P43" s="71"/>
      <c r="Q43" s="93"/>
      <c r="R43" s="93"/>
    </row>
    <row r="44" spans="1:22" s="215" customFormat="1" ht="14.25" customHeight="1" thickBot="1">
      <c r="A44" s="71"/>
      <c r="B44" s="71"/>
      <c r="C44" s="71"/>
      <c r="D44" s="71"/>
      <c r="E44" s="71"/>
      <c r="F44" s="71"/>
      <c r="G44" s="71"/>
      <c r="H44" s="71"/>
      <c r="I44" s="71"/>
      <c r="J44" s="71"/>
      <c r="K44" s="71"/>
      <c r="L44" s="71"/>
      <c r="M44" s="72"/>
      <c r="N44" s="72"/>
      <c r="O44" s="71"/>
      <c r="P44" s="71"/>
      <c r="Q44" s="93"/>
      <c r="R44" s="93"/>
    </row>
    <row r="45" spans="1:22" s="215" customFormat="1" ht="14.25" customHeight="1" thickBot="1">
      <c r="A45" s="71"/>
      <c r="B45" s="71"/>
      <c r="C45" s="1114" t="s">
        <v>283</v>
      </c>
      <c r="D45" s="1115"/>
      <c r="E45" s="1116"/>
      <c r="F45" s="71"/>
      <c r="G45" s="71"/>
      <c r="H45" s="71"/>
      <c r="I45" s="71"/>
      <c r="J45" s="71"/>
      <c r="K45" s="71"/>
      <c r="L45" s="71"/>
      <c r="M45" s="72"/>
      <c r="N45" s="71"/>
      <c r="O45" s="71"/>
      <c r="P45" s="71"/>
      <c r="Q45" s="72"/>
      <c r="R45" s="72"/>
      <c r="S45" s="71"/>
      <c r="T45" s="71"/>
      <c r="U45" s="93"/>
      <c r="V45" s="93"/>
    </row>
    <row r="46" spans="1:22" s="215" customFormat="1" ht="14.25" customHeight="1">
      <c r="A46" s="71"/>
      <c r="B46" s="71"/>
      <c r="C46" s="113" t="s">
        <v>43</v>
      </c>
      <c r="D46" s="152" t="str">
        <f>D27</f>
        <v>n</v>
      </c>
      <c r="E46" s="84"/>
      <c r="F46" s="71"/>
      <c r="G46" s="71"/>
      <c r="H46" s="71"/>
      <c r="I46" s="71"/>
      <c r="J46" s="71"/>
      <c r="K46" s="71"/>
      <c r="L46" s="71"/>
      <c r="M46" s="72"/>
      <c r="Q46" s="72"/>
      <c r="R46" s="72"/>
      <c r="S46" s="71"/>
      <c r="T46" s="71"/>
      <c r="U46" s="93"/>
      <c r="V46" s="93"/>
    </row>
    <row r="47" spans="1:22" s="215" customFormat="1" ht="14.25" customHeight="1">
      <c r="A47" s="71"/>
      <c r="B47" s="71"/>
      <c r="C47" s="148" t="s">
        <v>122</v>
      </c>
      <c r="D47" s="580" t="str">
        <f>IF(D46="Y",D102,"n/a")</f>
        <v>n/a</v>
      </c>
      <c r="E47" s="115" t="s">
        <v>115</v>
      </c>
      <c r="F47" s="71"/>
      <c r="G47" s="71"/>
      <c r="H47" s="71"/>
      <c r="I47" s="71"/>
      <c r="J47" s="71"/>
      <c r="K47" s="71"/>
      <c r="L47" s="71"/>
      <c r="M47" s="72"/>
      <c r="Q47" s="72"/>
      <c r="R47" s="72"/>
      <c r="S47" s="71"/>
      <c r="T47" s="71"/>
      <c r="U47" s="93"/>
      <c r="V47" s="93"/>
    </row>
    <row r="48" spans="1:22" s="215" customFormat="1" ht="14.25" customHeight="1">
      <c r="A48" s="71"/>
      <c r="B48" s="71"/>
      <c r="C48" s="1100" t="s">
        <v>58</v>
      </c>
      <c r="D48" s="1101"/>
      <c r="E48" s="1102"/>
      <c r="F48" s="71"/>
      <c r="G48" s="71"/>
      <c r="H48" s="71"/>
      <c r="I48" s="71"/>
      <c r="J48" s="71"/>
      <c r="K48" s="71"/>
      <c r="L48" s="71"/>
      <c r="M48" s="72"/>
      <c r="Q48" s="72"/>
      <c r="R48" s="72"/>
      <c r="S48" s="71"/>
      <c r="T48" s="71"/>
      <c r="U48" s="93"/>
      <c r="V48" s="93"/>
    </row>
    <row r="49" spans="1:22" s="215" customFormat="1" ht="14.25" customHeight="1">
      <c r="A49" s="71"/>
      <c r="B49" s="71"/>
      <c r="C49" s="148" t="s">
        <v>124</v>
      </c>
      <c r="D49" s="671">
        <v>25</v>
      </c>
      <c r="E49" s="115" t="s">
        <v>303</v>
      </c>
      <c r="F49" s="71" t="s">
        <v>304</v>
      </c>
      <c r="G49" s="71"/>
      <c r="H49" s="71"/>
      <c r="I49" s="71"/>
      <c r="J49" s="71"/>
      <c r="K49" s="71"/>
      <c r="L49" s="71"/>
      <c r="M49" s="72"/>
      <c r="Q49" s="72"/>
      <c r="R49" s="72"/>
      <c r="S49" s="71"/>
      <c r="T49" s="71"/>
      <c r="U49" s="93"/>
      <c r="V49" s="93"/>
    </row>
    <row r="50" spans="1:22" s="215" customFormat="1" ht="14.25" customHeight="1">
      <c r="A50" s="71"/>
      <c r="B50" s="71"/>
      <c r="C50" s="148" t="s">
        <v>125</v>
      </c>
      <c r="D50" s="580">
        <f>IF(D46="Y",D49*'Liquid fuels - emission calc.'!D20*1000,0)</f>
        <v>0</v>
      </c>
      <c r="E50" s="115" t="s">
        <v>123</v>
      </c>
      <c r="F50" s="71"/>
      <c r="G50" s="71"/>
      <c r="H50" s="71"/>
      <c r="I50" s="71"/>
      <c r="J50" s="71"/>
      <c r="K50" s="71"/>
      <c r="L50" s="71"/>
      <c r="M50" s="72"/>
      <c r="Q50" s="72"/>
      <c r="R50" s="72"/>
      <c r="S50" s="71"/>
      <c r="T50" s="71"/>
      <c r="U50" s="93"/>
      <c r="V50" s="93"/>
    </row>
    <row r="51" spans="1:22" s="215" customFormat="1" ht="14.25" customHeight="1" thickBot="1">
      <c r="A51" s="71"/>
      <c r="B51" s="71"/>
      <c r="C51" s="148" t="s">
        <v>34</v>
      </c>
      <c r="D51" s="580">
        <f>D50*'Liquid fuels - emission calc.'!J5</f>
        <v>0</v>
      </c>
      <c r="E51" s="115" t="s">
        <v>126</v>
      </c>
      <c r="F51" s="71"/>
      <c r="G51" s="71"/>
      <c r="H51" s="71"/>
      <c r="I51" s="71"/>
      <c r="J51" s="71"/>
      <c r="K51" s="71"/>
      <c r="L51" s="71"/>
      <c r="M51" s="72"/>
      <c r="N51" s="71"/>
      <c r="O51" s="71"/>
      <c r="P51" s="71"/>
      <c r="Q51" s="72"/>
      <c r="R51" s="72"/>
      <c r="S51" s="71"/>
      <c r="T51" s="71"/>
      <c r="U51" s="93"/>
      <c r="V51" s="93"/>
    </row>
    <row r="52" spans="1:22" s="215" customFormat="1" ht="14.25" customHeight="1">
      <c r="A52" s="71"/>
      <c r="B52" s="71"/>
      <c r="C52" s="1100" t="s">
        <v>33</v>
      </c>
      <c r="D52" s="1101"/>
      <c r="E52" s="1102"/>
      <c r="F52" s="71"/>
      <c r="G52" s="71"/>
      <c r="H52" s="71"/>
      <c r="I52" s="71"/>
      <c r="J52" s="71"/>
      <c r="K52" s="71"/>
      <c r="L52" s="71"/>
      <c r="M52" s="72"/>
      <c r="N52" s="1103" t="s">
        <v>291</v>
      </c>
      <c r="O52" s="1104"/>
      <c r="P52" s="1104"/>
      <c r="Q52" s="1104"/>
      <c r="R52" s="1105"/>
      <c r="S52" s="71"/>
      <c r="T52" s="71"/>
      <c r="U52" s="93"/>
      <c r="V52" s="93"/>
    </row>
    <row r="53" spans="1:22" s="215" customFormat="1" ht="14.25" customHeight="1">
      <c r="A53" s="71"/>
      <c r="B53" s="71"/>
      <c r="C53" s="148" t="s">
        <v>30</v>
      </c>
      <c r="D53" s="580">
        <f>D50*'Liquid fuels - emission calc.'!G4</f>
        <v>0</v>
      </c>
      <c r="E53" s="115" t="s">
        <v>126</v>
      </c>
      <c r="F53" s="71"/>
      <c r="G53" s="71"/>
      <c r="H53" s="71"/>
      <c r="I53" s="71"/>
      <c r="J53" s="71"/>
      <c r="K53" s="71"/>
      <c r="L53" s="71"/>
      <c r="M53" s="207"/>
      <c r="N53" s="1106"/>
      <c r="O53" s="1107"/>
      <c r="P53" s="1107"/>
      <c r="Q53" s="1107"/>
      <c r="R53" s="1108"/>
      <c r="S53" s="71"/>
      <c r="T53" s="71"/>
      <c r="U53" s="93"/>
      <c r="V53" s="93"/>
    </row>
    <row r="54" spans="1:22" s="215" customFormat="1" ht="14.25" customHeight="1">
      <c r="A54" s="71"/>
      <c r="B54" s="71"/>
      <c r="C54" s="148" t="s">
        <v>40</v>
      </c>
      <c r="D54" s="135" t="s">
        <v>141</v>
      </c>
      <c r="E54" s="115"/>
      <c r="F54" s="71"/>
      <c r="G54" s="71"/>
      <c r="H54" s="71"/>
      <c r="I54" s="71"/>
      <c r="J54" s="71"/>
      <c r="K54" s="71"/>
      <c r="L54" s="71"/>
      <c r="M54" s="207"/>
      <c r="N54" s="1109" t="s">
        <v>1158</v>
      </c>
      <c r="O54" s="1110"/>
      <c r="P54" s="688"/>
      <c r="Q54" s="88"/>
      <c r="R54" s="81"/>
      <c r="S54" s="71"/>
      <c r="T54" s="71"/>
      <c r="U54" s="93"/>
      <c r="V54" s="93"/>
    </row>
    <row r="55" spans="1:22" s="215" customFormat="1" ht="14.25" customHeight="1">
      <c r="A55" s="71"/>
      <c r="B55" s="71"/>
      <c r="C55" s="148" t="s">
        <v>41</v>
      </c>
      <c r="D55" s="114" t="str">
        <f>IF(D54="Y","N","Y")</f>
        <v>Y</v>
      </c>
      <c r="E55" s="115"/>
      <c r="F55" s="71"/>
      <c r="G55" s="71"/>
      <c r="H55" s="71"/>
      <c r="I55" s="71"/>
      <c r="J55" s="71"/>
      <c r="K55" s="71"/>
      <c r="L55" s="71"/>
      <c r="M55" s="79"/>
      <c r="N55" s="80" t="s">
        <v>139</v>
      </c>
      <c r="O55" s="694" t="s">
        <v>185</v>
      </c>
      <c r="P55" s="88"/>
      <c r="Q55" s="88"/>
      <c r="R55" s="81"/>
      <c r="S55" s="71"/>
      <c r="T55" s="71"/>
      <c r="U55" s="93"/>
      <c r="V55" s="93"/>
    </row>
    <row r="56" spans="1:22" s="215" customFormat="1" ht="14.25" customHeight="1">
      <c r="A56" s="71"/>
      <c r="B56" s="71"/>
      <c r="C56" s="148" t="s">
        <v>42</v>
      </c>
      <c r="D56" s="168">
        <f>O74</f>
        <v>1.75</v>
      </c>
      <c r="E56" s="115"/>
      <c r="F56" s="1053" t="s">
        <v>305</v>
      </c>
      <c r="G56" s="71"/>
      <c r="H56" s="71"/>
      <c r="I56" s="71"/>
      <c r="J56" s="71"/>
      <c r="K56" s="71"/>
      <c r="L56" s="71"/>
      <c r="M56" s="79"/>
      <c r="N56" s="80" t="s">
        <v>43</v>
      </c>
      <c r="O56" s="694" t="s">
        <v>937</v>
      </c>
      <c r="P56" s="88"/>
      <c r="Q56" s="88"/>
      <c r="R56" s="81"/>
      <c r="S56" s="71"/>
      <c r="T56" s="71"/>
      <c r="U56" s="93"/>
      <c r="V56" s="93"/>
    </row>
    <row r="57" spans="1:22" s="215" customFormat="1" ht="14.25" customHeight="1">
      <c r="A57" s="71"/>
      <c r="B57" s="71"/>
      <c r="C57" s="148" t="s">
        <v>50</v>
      </c>
      <c r="D57" s="580">
        <f>IF(D46="Y",IF(D55="N",D47/'Liquid fuels - emission calc.'!$F10*'Liquid fuels - emission calc.'!$F12*D56,D47/'Liquid fuels - emission calc.'!$F10*'Liquid fuels - emission calc.'!$F13*D56/2),0)</f>
        <v>0</v>
      </c>
      <c r="E57" s="115" t="s">
        <v>115</v>
      </c>
      <c r="F57" s="1053"/>
      <c r="G57" s="71"/>
      <c r="H57" s="71"/>
      <c r="I57" s="71"/>
      <c r="J57" s="71"/>
      <c r="K57" s="71"/>
      <c r="L57" s="71"/>
      <c r="M57" s="79"/>
      <c r="N57" s="1109" t="s">
        <v>262</v>
      </c>
      <c r="O57" s="1110"/>
      <c r="P57" s="1110"/>
      <c r="Q57" s="88"/>
      <c r="R57" s="81"/>
      <c r="S57" s="71"/>
      <c r="T57" s="71"/>
      <c r="U57" s="93"/>
      <c r="V57" s="93"/>
    </row>
    <row r="58" spans="1:22" s="215" customFormat="1" ht="14.25" customHeight="1">
      <c r="A58" s="71"/>
      <c r="B58" s="71"/>
      <c r="C58" s="148" t="s">
        <v>49</v>
      </c>
      <c r="D58" s="580">
        <f>IF(D54="Y",'Liquid fuels - emission calc.'!H31,'Liquid fuels - emission calc.'!$H32)*D57</f>
        <v>0</v>
      </c>
      <c r="E58" s="115" t="s">
        <v>126</v>
      </c>
      <c r="F58" s="1053"/>
      <c r="G58" s="71"/>
      <c r="H58" s="71"/>
      <c r="I58" s="71"/>
      <c r="J58" s="71"/>
      <c r="K58" s="71"/>
      <c r="L58" s="71"/>
      <c r="M58" s="79"/>
      <c r="N58" s="80" t="s">
        <v>17</v>
      </c>
      <c r="O58" s="694">
        <v>1.5</v>
      </c>
      <c r="P58" s="88" t="s">
        <v>16</v>
      </c>
      <c r="Q58" s="72"/>
      <c r="R58" s="81"/>
      <c r="S58" s="71"/>
      <c r="T58" s="694"/>
      <c r="U58" s="93"/>
      <c r="V58" s="93"/>
    </row>
    <row r="59" spans="1:22" s="215" customFormat="1" ht="14.25" customHeight="1">
      <c r="A59" s="71"/>
      <c r="B59" s="71"/>
      <c r="C59" s="119" t="s">
        <v>54</v>
      </c>
      <c r="D59" s="1002">
        <v>0.01</v>
      </c>
      <c r="E59" s="115" t="s">
        <v>52</v>
      </c>
      <c r="F59" s="1053"/>
      <c r="G59" s="71"/>
      <c r="H59" s="71"/>
      <c r="I59" s="71"/>
      <c r="J59" s="71"/>
      <c r="K59" s="71"/>
      <c r="L59" s="71"/>
      <c r="M59" s="79"/>
      <c r="N59" s="80" t="s">
        <v>18</v>
      </c>
      <c r="O59" s="694">
        <v>2.5</v>
      </c>
      <c r="P59" s="88" t="s">
        <v>16</v>
      </c>
      <c r="Q59" s="72"/>
      <c r="R59" s="81"/>
      <c r="S59" s="71"/>
      <c r="T59" s="79"/>
      <c r="U59" s="93"/>
      <c r="V59" s="93"/>
    </row>
    <row r="60" spans="1:22" s="215" customFormat="1" ht="14.25" customHeight="1">
      <c r="A60" s="71"/>
      <c r="B60" s="71"/>
      <c r="C60" s="119" t="s">
        <v>53</v>
      </c>
      <c r="D60" s="580">
        <f>IF(D46="y",D59*'Liquid fuels - emission calc.'!D33*'Liquid fuels - emission calc.'!H33*8760,0)</f>
        <v>0</v>
      </c>
      <c r="E60" s="117" t="s">
        <v>126</v>
      </c>
      <c r="F60" s="1053"/>
      <c r="G60" s="71"/>
      <c r="H60" s="71"/>
      <c r="I60" s="71"/>
      <c r="J60" s="71"/>
      <c r="K60" s="71"/>
      <c r="L60" s="71"/>
      <c r="M60" s="79"/>
      <c r="N60" s="80" t="s">
        <v>261</v>
      </c>
      <c r="O60" s="694">
        <v>1.5</v>
      </c>
      <c r="P60" s="88" t="s">
        <v>16</v>
      </c>
      <c r="Q60" s="72"/>
      <c r="R60" s="81"/>
      <c r="S60" s="71"/>
      <c r="T60" s="694"/>
      <c r="U60" s="93"/>
      <c r="V60" s="93"/>
    </row>
    <row r="61" spans="1:22" s="215" customFormat="1" ht="14.25" customHeight="1">
      <c r="A61" s="71"/>
      <c r="B61" s="71"/>
      <c r="C61" s="119" t="s">
        <v>51</v>
      </c>
      <c r="D61" s="169">
        <f>'Liquid fuels - emission calc.'!H34*O78</f>
        <v>6.2100000000000002E-2</v>
      </c>
      <c r="E61" s="117" t="s">
        <v>55</v>
      </c>
      <c r="F61" s="1053"/>
      <c r="G61" s="71"/>
      <c r="H61" s="71"/>
      <c r="I61" s="71"/>
      <c r="J61" s="71"/>
      <c r="K61" s="71"/>
      <c r="L61" s="71"/>
      <c r="M61" s="79"/>
      <c r="N61" s="80"/>
      <c r="O61" s="88"/>
      <c r="P61" s="88"/>
      <c r="Q61" s="88"/>
      <c r="R61" s="81"/>
      <c r="S61" s="71"/>
      <c r="T61" s="694"/>
      <c r="U61" s="93"/>
      <c r="V61" s="93"/>
    </row>
    <row r="62" spans="1:22" s="215" customFormat="1" ht="14.25" customHeight="1">
      <c r="A62" s="71"/>
      <c r="B62" s="71"/>
      <c r="C62" s="148" t="s">
        <v>56</v>
      </c>
      <c r="D62" s="580">
        <f>IF(D46="y",D61*'Liquid fuels - emission calc.'!H33*'Liquid fuels - emission calc.'!D88/10^6,0)</f>
        <v>0</v>
      </c>
      <c r="E62" s="115" t="s">
        <v>126</v>
      </c>
      <c r="F62" s="1053"/>
      <c r="G62" s="71"/>
      <c r="H62" s="71"/>
      <c r="I62" s="71"/>
      <c r="J62" s="71"/>
      <c r="K62" s="71"/>
      <c r="L62" s="71"/>
      <c r="M62" s="79"/>
      <c r="N62" s="1111" t="s">
        <v>1066</v>
      </c>
      <c r="O62" s="1112"/>
      <c r="P62" s="1112"/>
      <c r="Q62" s="1112"/>
      <c r="R62" s="1113"/>
      <c r="S62" s="71"/>
      <c r="T62" s="88"/>
      <c r="U62" s="93"/>
      <c r="V62" s="93"/>
    </row>
    <row r="63" spans="1:22" s="215" customFormat="1" ht="14.25" customHeight="1">
      <c r="A63" s="71"/>
      <c r="B63" s="71"/>
      <c r="C63" s="148"/>
      <c r="D63" s="167"/>
      <c r="E63" s="115"/>
      <c r="F63" s="71"/>
      <c r="G63" s="71"/>
      <c r="H63" s="71"/>
      <c r="I63" s="71"/>
      <c r="J63" s="71"/>
      <c r="K63" s="71"/>
      <c r="L63" s="71"/>
      <c r="M63" s="131"/>
      <c r="N63" s="83"/>
      <c r="O63" s="689" t="s">
        <v>143</v>
      </c>
      <c r="P63" s="689" t="s">
        <v>144</v>
      </c>
      <c r="Q63" s="689" t="s">
        <v>145</v>
      </c>
      <c r="R63" s="690" t="s">
        <v>288</v>
      </c>
      <c r="S63" s="71"/>
      <c r="T63" s="71"/>
      <c r="U63" s="93"/>
      <c r="V63" s="93"/>
    </row>
    <row r="64" spans="1:22" s="215" customFormat="1" ht="14.25" customHeight="1">
      <c r="A64" s="71"/>
      <c r="B64" s="71"/>
      <c r="C64" s="149" t="s">
        <v>294</v>
      </c>
      <c r="D64" s="216">
        <f>D62+D60+D58+D53</f>
        <v>0</v>
      </c>
      <c r="E64" s="150" t="s">
        <v>126</v>
      </c>
      <c r="F64" s="71"/>
      <c r="G64" s="71"/>
      <c r="H64" s="71"/>
      <c r="I64" s="71"/>
      <c r="J64" s="71"/>
      <c r="K64" s="71"/>
      <c r="L64" s="71"/>
      <c r="M64" s="694"/>
      <c r="N64" s="119" t="s">
        <v>146</v>
      </c>
      <c r="O64" s="1132">
        <v>0.11</v>
      </c>
      <c r="P64" s="1132"/>
      <c r="Q64" s="152" t="s">
        <v>147</v>
      </c>
      <c r="R64" s="109">
        <v>1</v>
      </c>
      <c r="S64" s="71"/>
      <c r="T64" s="71"/>
      <c r="U64" s="93"/>
      <c r="V64" s="93"/>
    </row>
    <row r="65" spans="1:22" s="215" customFormat="1" ht="14.25" customHeight="1">
      <c r="A65" s="71"/>
      <c r="B65" s="71"/>
      <c r="C65" s="149" t="s">
        <v>36</v>
      </c>
      <c r="D65" s="216">
        <f>D64+D53+D51</f>
        <v>0</v>
      </c>
      <c r="E65" s="150" t="s">
        <v>126</v>
      </c>
      <c r="F65" s="71"/>
      <c r="G65" s="71"/>
      <c r="H65" s="71"/>
      <c r="I65" s="71"/>
      <c r="J65" s="71"/>
      <c r="K65" s="71"/>
      <c r="L65" s="71"/>
      <c r="M65" s="152"/>
      <c r="N65" s="80" t="s">
        <v>148</v>
      </c>
      <c r="O65" s="175">
        <v>40000</v>
      </c>
      <c r="P65" s="175">
        <v>80000</v>
      </c>
      <c r="Q65" s="152" t="s">
        <v>149</v>
      </c>
      <c r="R65" s="109">
        <v>3</v>
      </c>
      <c r="S65" s="71"/>
      <c r="T65" s="71"/>
      <c r="U65" s="93"/>
      <c r="V65" s="93"/>
    </row>
    <row r="66" spans="1:22" s="215" customFormat="1" ht="14.25" customHeight="1">
      <c r="A66" s="71"/>
      <c r="B66" s="71"/>
      <c r="C66" s="149" t="s">
        <v>57</v>
      </c>
      <c r="D66" s="170" t="str">
        <f>IF(D46="y",D65/D47,"n/a")</f>
        <v>n/a</v>
      </c>
      <c r="E66" s="150" t="s">
        <v>38</v>
      </c>
      <c r="F66" s="71"/>
      <c r="G66" s="71"/>
      <c r="H66" s="71"/>
      <c r="I66" s="71"/>
      <c r="J66" s="71"/>
      <c r="K66" s="71"/>
      <c r="L66" s="71"/>
      <c r="M66" s="152"/>
      <c r="N66" s="113" t="s">
        <v>150</v>
      </c>
      <c r="O66" s="694">
        <v>0</v>
      </c>
      <c r="P66" s="694">
        <v>4</v>
      </c>
      <c r="Q66" s="88"/>
      <c r="R66" s="109">
        <v>4</v>
      </c>
      <c r="S66" s="71"/>
      <c r="T66" s="71"/>
      <c r="U66" s="93"/>
      <c r="V66" s="93"/>
    </row>
    <row r="67" spans="1:22" s="215" customFormat="1" ht="14.25" customHeight="1">
      <c r="A67" s="71"/>
      <c r="B67" s="71"/>
      <c r="C67" s="141" t="s">
        <v>285</v>
      </c>
      <c r="D67" s="171" t="str">
        <f>IF(D$65&gt;0,D51/D$65,"n/a")</f>
        <v>n/a</v>
      </c>
      <c r="E67" s="150"/>
      <c r="F67" s="71"/>
      <c r="G67" s="71"/>
      <c r="H67" s="71"/>
      <c r="I67" s="71"/>
      <c r="J67" s="71"/>
      <c r="K67" s="71"/>
      <c r="L67" s="71"/>
      <c r="M67" s="152"/>
      <c r="N67" s="119" t="s">
        <v>151</v>
      </c>
      <c r="O67" s="175">
        <v>4000</v>
      </c>
      <c r="P67" s="175">
        <v>15000</v>
      </c>
      <c r="Q67" s="152" t="s">
        <v>152</v>
      </c>
      <c r="R67" s="109">
        <v>2</v>
      </c>
      <c r="S67" s="71"/>
      <c r="T67" s="71"/>
      <c r="U67" s="93"/>
      <c r="V67" s="93"/>
    </row>
    <row r="68" spans="1:22" s="215" customFormat="1" ht="14.25" customHeight="1" thickBot="1">
      <c r="A68" s="71"/>
      <c r="B68" s="71"/>
      <c r="C68" s="165" t="s">
        <v>286</v>
      </c>
      <c r="D68" s="172" t="str">
        <f>IF(D$65&gt;0,D64/D$65,"n/a")</f>
        <v>n/a</v>
      </c>
      <c r="E68" s="151"/>
      <c r="F68" s="71"/>
      <c r="G68" s="71"/>
      <c r="H68" s="71"/>
      <c r="I68" s="71"/>
      <c r="J68" s="71"/>
      <c r="K68" s="71"/>
      <c r="L68" s="71"/>
      <c r="M68" s="152"/>
      <c r="N68" s="86" t="s">
        <v>153</v>
      </c>
      <c r="O68" s="1133" t="s">
        <v>936</v>
      </c>
      <c r="P68" s="1133"/>
      <c r="Q68" s="1133"/>
      <c r="R68" s="1134"/>
      <c r="S68" s="71"/>
      <c r="T68" s="71"/>
      <c r="U68" s="93"/>
      <c r="V68" s="93"/>
    </row>
    <row r="69" spans="1:22" s="215" customFormat="1" ht="14.25" customHeight="1">
      <c r="A69" s="71"/>
      <c r="B69" s="71"/>
      <c r="C69" s="71"/>
      <c r="D69" s="71"/>
      <c r="E69" s="71"/>
      <c r="F69" s="71"/>
      <c r="G69" s="71"/>
      <c r="H69" s="71"/>
      <c r="I69" s="71"/>
      <c r="J69" s="71"/>
      <c r="K69" s="71"/>
      <c r="L69" s="71"/>
      <c r="M69" s="152"/>
      <c r="N69" s="72"/>
      <c r="O69" s="72"/>
      <c r="P69" s="71"/>
      <c r="Q69" s="71"/>
      <c r="R69" s="72"/>
      <c r="S69" s="71"/>
      <c r="T69" s="71"/>
      <c r="U69" s="93"/>
      <c r="V69" s="93"/>
    </row>
    <row r="70" spans="1:22" s="215" customFormat="1" ht="14.25" customHeight="1" thickBot="1">
      <c r="A70" s="71"/>
      <c r="B70" s="71"/>
      <c r="C70" s="71"/>
      <c r="D70" s="71"/>
      <c r="E70" s="71"/>
      <c r="F70" s="71"/>
      <c r="G70" s="71"/>
      <c r="H70" s="71"/>
      <c r="I70" s="71"/>
      <c r="J70" s="71"/>
      <c r="K70" s="72"/>
      <c r="L70" s="72"/>
      <c r="M70" s="72"/>
      <c r="N70" s="72"/>
      <c r="O70" s="72"/>
      <c r="P70" s="71"/>
      <c r="Q70" s="71"/>
      <c r="R70" s="72"/>
      <c r="S70" s="71"/>
      <c r="T70" s="71"/>
      <c r="U70" s="93"/>
      <c r="V70" s="93"/>
    </row>
    <row r="71" spans="1:22" s="215" customFormat="1" ht="14.25" customHeight="1" thickBot="1">
      <c r="A71" s="71"/>
      <c r="B71" s="71"/>
      <c r="C71" s="1114" t="s">
        <v>284</v>
      </c>
      <c r="D71" s="1115"/>
      <c r="E71" s="1116"/>
      <c r="F71" s="71"/>
      <c r="G71" s="71"/>
      <c r="H71" s="71"/>
      <c r="I71" s="71"/>
      <c r="J71" s="71"/>
      <c r="K71" s="72"/>
      <c r="L71" s="72"/>
      <c r="M71" s="72"/>
      <c r="N71" s="1088" t="s">
        <v>295</v>
      </c>
      <c r="O71" s="1089"/>
      <c r="P71" s="1090"/>
      <c r="Q71" s="71"/>
      <c r="R71" s="72"/>
      <c r="S71" s="71"/>
      <c r="T71" s="71"/>
      <c r="U71" s="93"/>
      <c r="V71" s="93"/>
    </row>
    <row r="72" spans="1:22" s="215" customFormat="1" ht="14.25" customHeight="1">
      <c r="A72" s="71"/>
      <c r="B72" s="71"/>
      <c r="C72" s="113" t="s">
        <v>39</v>
      </c>
      <c r="D72" s="146" t="str">
        <f>D26</f>
        <v>n</v>
      </c>
      <c r="E72" s="84" t="s">
        <v>85</v>
      </c>
      <c r="F72" s="71"/>
      <c r="G72" s="71"/>
      <c r="H72" s="71"/>
      <c r="I72" s="71"/>
      <c r="J72" s="71"/>
      <c r="K72" s="72"/>
      <c r="L72" s="72"/>
      <c r="M72" s="72"/>
      <c r="N72" s="1117" t="s">
        <v>1262</v>
      </c>
      <c r="O72" s="1118"/>
      <c r="P72" s="1119"/>
      <c r="Q72" s="71"/>
      <c r="R72" s="72"/>
      <c r="S72" s="71"/>
      <c r="T72" s="71"/>
      <c r="U72" s="93"/>
      <c r="V72" s="93"/>
    </row>
    <row r="73" spans="1:22" s="215" customFormat="1" ht="14.25" customHeight="1">
      <c r="A73" s="71"/>
      <c r="B73" s="71"/>
      <c r="C73" s="148" t="s">
        <v>122</v>
      </c>
      <c r="D73" s="580">
        <f>IF(D72="Y",D102,0)</f>
        <v>0</v>
      </c>
      <c r="E73" s="115" t="s">
        <v>115</v>
      </c>
      <c r="F73" s="71"/>
      <c r="G73" s="71"/>
      <c r="H73" s="71"/>
      <c r="I73" s="71"/>
      <c r="J73" s="71"/>
      <c r="K73" s="72"/>
      <c r="L73" s="72"/>
      <c r="M73" s="72"/>
      <c r="N73" s="116" t="s">
        <v>139</v>
      </c>
      <c r="O73" s="211">
        <v>0.9</v>
      </c>
      <c r="P73" s="1120" t="s">
        <v>289</v>
      </c>
      <c r="Q73" s="71"/>
      <c r="R73" s="72"/>
      <c r="S73" s="71"/>
      <c r="T73" s="71"/>
      <c r="U73" s="93"/>
      <c r="V73" s="93"/>
    </row>
    <row r="74" spans="1:22" s="215" customFormat="1" ht="14.25" customHeight="1">
      <c r="A74" s="71"/>
      <c r="B74" s="71"/>
      <c r="C74" s="1100" t="s">
        <v>58</v>
      </c>
      <c r="D74" s="1101"/>
      <c r="E74" s="1102"/>
      <c r="F74" s="71"/>
      <c r="G74" s="71"/>
      <c r="H74" s="71"/>
      <c r="I74" s="71"/>
      <c r="J74" s="71"/>
      <c r="K74" s="72"/>
      <c r="L74" s="72"/>
      <c r="M74" s="72"/>
      <c r="N74" s="116" t="s">
        <v>43</v>
      </c>
      <c r="O74" s="135">
        <v>1.75</v>
      </c>
      <c r="P74" s="1120"/>
      <c r="Q74" s="71"/>
      <c r="R74" s="72"/>
      <c r="S74" s="71"/>
      <c r="T74" s="71"/>
      <c r="U74" s="93"/>
      <c r="V74" s="93"/>
    </row>
    <row r="75" spans="1:22" s="215" customFormat="1" ht="14.25" customHeight="1">
      <c r="A75" s="71"/>
      <c r="B75" s="71"/>
      <c r="C75" s="148" t="s">
        <v>124</v>
      </c>
      <c r="D75" s="673">
        <v>40</v>
      </c>
      <c r="E75" s="115" t="s">
        <v>303</v>
      </c>
      <c r="F75" s="71" t="s">
        <v>304</v>
      </c>
      <c r="G75" s="71"/>
      <c r="H75" s="71"/>
      <c r="I75" s="71"/>
      <c r="J75" s="71"/>
      <c r="K75" s="72"/>
      <c r="L75" s="72"/>
      <c r="M75" s="72"/>
      <c r="N75" s="116" t="s">
        <v>19</v>
      </c>
      <c r="O75" s="179">
        <v>3</v>
      </c>
      <c r="P75" s="1120"/>
      <c r="Q75" s="71"/>
      <c r="R75" s="72"/>
      <c r="S75" s="71"/>
      <c r="T75" s="71"/>
      <c r="U75" s="93"/>
      <c r="V75" s="93"/>
    </row>
    <row r="76" spans="1:22" s="215" customFormat="1" ht="14.25" customHeight="1">
      <c r="A76" s="71"/>
      <c r="B76" s="71"/>
      <c r="C76" s="148" t="s">
        <v>125</v>
      </c>
      <c r="D76" s="580">
        <f>IF(D72="y",D75*'Liquid fuels - emission calc.'!D20*1000,0)</f>
        <v>0</v>
      </c>
      <c r="E76" s="115" t="s">
        <v>123</v>
      </c>
      <c r="F76" s="71"/>
      <c r="G76" s="71"/>
      <c r="H76" s="71"/>
      <c r="I76" s="71"/>
      <c r="J76" s="71"/>
      <c r="K76" s="72"/>
      <c r="L76" s="72"/>
      <c r="M76" s="72"/>
      <c r="N76" s="116"/>
      <c r="O76" s="146"/>
      <c r="P76" s="81"/>
      <c r="Q76" s="71"/>
      <c r="R76" s="72"/>
      <c r="S76" s="71"/>
      <c r="T76" s="71"/>
      <c r="U76" s="93"/>
      <c r="V76" s="93"/>
    </row>
    <row r="77" spans="1:22" s="215" customFormat="1" ht="14.25" customHeight="1">
      <c r="A77" s="71"/>
      <c r="B77" s="71"/>
      <c r="C77" s="149" t="s">
        <v>34</v>
      </c>
      <c r="D77" s="216">
        <f>D76*'Liquid fuels - emission calc.'!J5</f>
        <v>0</v>
      </c>
      <c r="E77" s="150" t="s">
        <v>126</v>
      </c>
      <c r="F77" s="71"/>
      <c r="G77" s="71"/>
      <c r="H77" s="71"/>
      <c r="I77" s="71"/>
      <c r="J77" s="71"/>
      <c r="K77" s="72"/>
      <c r="L77" s="72"/>
      <c r="M77" s="72"/>
      <c r="N77" s="116" t="s">
        <v>1258</v>
      </c>
      <c r="O77" s="134">
        <f>O75*O59+O60+O58</f>
        <v>10.5</v>
      </c>
      <c r="P77" s="81" t="s">
        <v>16</v>
      </c>
      <c r="Q77" s="71"/>
      <c r="R77" s="72"/>
      <c r="S77" s="71"/>
      <c r="T77" s="71"/>
      <c r="U77" s="93"/>
      <c r="V77" s="93"/>
    </row>
    <row r="78" spans="1:22" s="215" customFormat="1" ht="14.25" customHeight="1" thickBot="1">
      <c r="A78" s="71"/>
      <c r="B78" s="71"/>
      <c r="C78" s="1100" t="s">
        <v>33</v>
      </c>
      <c r="D78" s="1101"/>
      <c r="E78" s="1102"/>
      <c r="F78" s="71"/>
      <c r="G78" s="71"/>
      <c r="H78" s="71"/>
      <c r="I78" s="71"/>
      <c r="J78" s="71"/>
      <c r="K78" s="72"/>
      <c r="L78" s="72"/>
      <c r="M78" s="72"/>
      <c r="N78" s="995" t="s">
        <v>1259</v>
      </c>
      <c r="O78" s="996">
        <f>O58</f>
        <v>1.5</v>
      </c>
      <c r="P78" s="87" t="s">
        <v>16</v>
      </c>
      <c r="Q78" s="71"/>
      <c r="R78" s="72"/>
      <c r="S78" s="71"/>
      <c r="T78" s="71"/>
      <c r="U78" s="93"/>
      <c r="V78" s="93"/>
    </row>
    <row r="79" spans="1:22" s="215" customFormat="1" ht="14.25" customHeight="1">
      <c r="A79" s="71"/>
      <c r="B79" s="71"/>
      <c r="C79" s="148" t="s">
        <v>30</v>
      </c>
      <c r="D79" s="580">
        <f>D76*'Liquid fuels - emission calc.'!G4</f>
        <v>0</v>
      </c>
      <c r="E79" s="115" t="s">
        <v>126</v>
      </c>
      <c r="F79" s="71"/>
      <c r="G79" s="71"/>
      <c r="H79" s="71"/>
      <c r="I79" s="71"/>
      <c r="J79" s="71"/>
      <c r="K79" s="72"/>
      <c r="L79" s="72"/>
      <c r="M79" s="72"/>
      <c r="N79" s="88"/>
      <c r="O79" s="152"/>
      <c r="P79" s="88"/>
      <c r="Q79" s="71"/>
      <c r="R79" s="72"/>
      <c r="S79" s="71"/>
      <c r="T79" s="71"/>
      <c r="U79" s="93"/>
      <c r="V79" s="93"/>
    </row>
    <row r="80" spans="1:22" s="215" customFormat="1" ht="14.25" customHeight="1">
      <c r="A80" s="71"/>
      <c r="B80" s="71"/>
      <c r="C80" s="148" t="s">
        <v>40</v>
      </c>
      <c r="D80" s="135" t="s">
        <v>44</v>
      </c>
      <c r="E80" s="115"/>
      <c r="F80" s="71"/>
      <c r="G80" s="71"/>
      <c r="H80" s="71"/>
      <c r="I80" s="71"/>
      <c r="J80" s="71"/>
      <c r="K80" s="72"/>
      <c r="L80" s="72"/>
      <c r="M80" s="72"/>
      <c r="N80" s="404"/>
      <c r="O80" s="404"/>
      <c r="P80" s="404"/>
      <c r="Q80" s="71"/>
      <c r="R80" s="72"/>
      <c r="S80" s="71"/>
      <c r="T80" s="71"/>
      <c r="U80" s="93"/>
      <c r="V80" s="93"/>
    </row>
    <row r="81" spans="1:22" s="215" customFormat="1" ht="14.25" customHeight="1" thickBot="1">
      <c r="A81" s="71"/>
      <c r="B81" s="71"/>
      <c r="C81" s="148" t="s">
        <v>41</v>
      </c>
      <c r="D81" s="114" t="str">
        <f>IF(D80="Y","N","Y")</f>
        <v>N</v>
      </c>
      <c r="E81" s="115"/>
      <c r="F81" s="71"/>
      <c r="G81" s="71"/>
      <c r="H81" s="71"/>
      <c r="I81" s="71"/>
      <c r="J81" s="71"/>
      <c r="K81" s="72"/>
      <c r="L81" s="72"/>
      <c r="M81" s="72"/>
      <c r="N81" s="88"/>
      <c r="O81" s="95"/>
      <c r="P81" s="88"/>
      <c r="Q81" s="71"/>
      <c r="R81" s="72"/>
      <c r="S81" s="71"/>
      <c r="T81" s="71"/>
      <c r="U81" s="93"/>
      <c r="V81" s="93"/>
    </row>
    <row r="82" spans="1:22" s="215" customFormat="1" ht="14.25" customHeight="1">
      <c r="A82" s="71"/>
      <c r="B82" s="71"/>
      <c r="C82" s="148" t="s">
        <v>332</v>
      </c>
      <c r="D82" s="168">
        <f>O73</f>
        <v>0.9</v>
      </c>
      <c r="E82" s="115"/>
      <c r="F82" s="71"/>
      <c r="G82" s="71"/>
      <c r="H82" s="71"/>
      <c r="I82" s="71"/>
      <c r="J82" s="71"/>
      <c r="K82" s="72"/>
      <c r="L82" s="72"/>
      <c r="M82" s="72"/>
      <c r="N82" s="1088" t="s">
        <v>290</v>
      </c>
      <c r="O82" s="1089"/>
      <c r="P82" s="1090"/>
      <c r="Q82" s="71"/>
      <c r="R82" s="72"/>
      <c r="S82" s="71"/>
      <c r="T82" s="71"/>
      <c r="U82" s="93"/>
      <c r="V82" s="93"/>
    </row>
    <row r="83" spans="1:22" s="215" customFormat="1" ht="14.25" customHeight="1">
      <c r="A83" s="71"/>
      <c r="B83" s="71"/>
      <c r="C83" s="148" t="s">
        <v>50</v>
      </c>
      <c r="D83" s="580">
        <f>IF(D72="Y",IF(D81="N",D73/'Liquid fuels - emission calc.'!$F10*'Liquid fuels - emission calc.'!$F12*D82,D73/'Liquid fuels - emission calc.'!$F10*'Liquid fuels - emission calc.'!$F13*D82/2),0)</f>
        <v>0</v>
      </c>
      <c r="E83" s="115" t="s">
        <v>115</v>
      </c>
      <c r="F83" s="1053" t="s">
        <v>305</v>
      </c>
      <c r="G83" s="71"/>
      <c r="H83" s="71"/>
      <c r="I83" s="71"/>
      <c r="J83" s="71"/>
      <c r="K83" s="72"/>
      <c r="L83" s="72"/>
      <c r="M83" s="72"/>
      <c r="N83" s="80" t="s">
        <v>154</v>
      </c>
      <c r="O83" s="135">
        <v>0.5</v>
      </c>
      <c r="P83" s="81" t="s">
        <v>147</v>
      </c>
      <c r="Q83" s="71"/>
      <c r="R83" s="72"/>
      <c r="S83" s="71"/>
      <c r="T83" s="71"/>
      <c r="U83" s="93"/>
      <c r="V83" s="93"/>
    </row>
    <row r="84" spans="1:22" s="215" customFormat="1" ht="14.25" customHeight="1">
      <c r="A84" s="71"/>
      <c r="B84" s="71"/>
      <c r="C84" s="148" t="s">
        <v>49</v>
      </c>
      <c r="D84" s="580">
        <f>IF(D80="Y",'Liquid fuels - emission calc.'!$H31,'Liquid fuels - emission calc.'!$H32)*D83</f>
        <v>0</v>
      </c>
      <c r="E84" s="115" t="s">
        <v>126</v>
      </c>
      <c r="F84" s="1053"/>
      <c r="G84" s="71"/>
      <c r="H84" s="71"/>
      <c r="I84" s="71"/>
      <c r="J84" s="71"/>
      <c r="K84" s="72"/>
      <c r="L84" s="72"/>
      <c r="M84" s="72"/>
      <c r="N84" s="80" t="s">
        <v>155</v>
      </c>
      <c r="O84" s="134">
        <f>O83*'Liquid fuels - emission calc.'!D20</f>
        <v>625</v>
      </c>
      <c r="P84" s="81" t="s">
        <v>156</v>
      </c>
      <c r="Q84" s="71"/>
      <c r="R84" s="72"/>
      <c r="S84" s="71"/>
      <c r="T84" s="71"/>
      <c r="U84" s="93"/>
      <c r="V84" s="93"/>
    </row>
    <row r="85" spans="1:22" s="215" customFormat="1" ht="14.25" customHeight="1">
      <c r="A85" s="71"/>
      <c r="B85" s="71"/>
      <c r="C85" s="119" t="s">
        <v>54</v>
      </c>
      <c r="D85" s="1002">
        <v>0.01</v>
      </c>
      <c r="E85" s="115" t="s">
        <v>52</v>
      </c>
      <c r="F85" s="1053"/>
      <c r="G85" s="71"/>
      <c r="H85" s="71"/>
      <c r="I85" s="71"/>
      <c r="J85" s="71"/>
      <c r="K85" s="72"/>
      <c r="L85" s="72"/>
      <c r="M85" s="72"/>
      <c r="N85" s="80" t="s">
        <v>148</v>
      </c>
      <c r="O85" s="135">
        <v>20000</v>
      </c>
      <c r="P85" s="81" t="s">
        <v>149</v>
      </c>
      <c r="Q85" s="71"/>
      <c r="R85" s="72"/>
      <c r="S85" s="71"/>
      <c r="T85" s="71"/>
      <c r="U85" s="93"/>
      <c r="V85" s="93"/>
    </row>
    <row r="86" spans="1:22" s="215" customFormat="1" ht="14.25" customHeight="1">
      <c r="A86" s="71"/>
      <c r="B86" s="71"/>
      <c r="C86" s="119" t="s">
        <v>53</v>
      </c>
      <c r="D86" s="580">
        <f>IF(D72="y",D85*'Liquid fuels - emission calc.'!D33*'Liquid fuels - emission calc.'!H33*8760,0)</f>
        <v>0</v>
      </c>
      <c r="E86" s="117" t="s">
        <v>126</v>
      </c>
      <c r="F86" s="1053"/>
      <c r="G86" s="71"/>
      <c r="H86" s="71"/>
      <c r="I86" s="71"/>
      <c r="J86" s="71"/>
      <c r="K86" s="72"/>
      <c r="L86" s="72"/>
      <c r="M86" s="72"/>
      <c r="N86" s="80" t="s">
        <v>513</v>
      </c>
      <c r="O86" s="439">
        <v>0.2</v>
      </c>
      <c r="P86" s="81"/>
      <c r="Q86" s="71"/>
      <c r="R86" s="72"/>
      <c r="S86" s="71"/>
      <c r="T86" s="71"/>
      <c r="U86" s="93"/>
      <c r="V86" s="93"/>
    </row>
    <row r="87" spans="1:22" s="215" customFormat="1" ht="14.25" customHeight="1">
      <c r="A87" s="71"/>
      <c r="B87" s="71"/>
      <c r="C87" s="119" t="s">
        <v>51</v>
      </c>
      <c r="D87" s="169">
        <f>'Liquid fuels - emission calc.'!H34*O77</f>
        <v>0.43469999999999998</v>
      </c>
      <c r="E87" s="117" t="s">
        <v>55</v>
      </c>
      <c r="F87" s="1053"/>
      <c r="G87" s="71"/>
      <c r="H87" s="71"/>
      <c r="I87" s="71"/>
      <c r="J87" s="71"/>
      <c r="K87" s="72"/>
      <c r="L87" s="72"/>
      <c r="M87" s="72"/>
      <c r="N87" s="80" t="s">
        <v>514</v>
      </c>
      <c r="O87" s="134">
        <f>O85*(1-O86)</f>
        <v>16000</v>
      </c>
      <c r="P87" s="81" t="s">
        <v>149</v>
      </c>
      <c r="Q87" s="71"/>
      <c r="R87" s="72"/>
      <c r="S87" s="71"/>
      <c r="T87" s="71"/>
      <c r="U87" s="93"/>
      <c r="V87" s="93"/>
    </row>
    <row r="88" spans="1:22" s="215" customFormat="1" ht="14.25" customHeight="1">
      <c r="A88" s="71"/>
      <c r="B88" s="71"/>
      <c r="C88" s="148" t="s">
        <v>56</v>
      </c>
      <c r="D88" s="580">
        <f>IF(D72="Y",D87*'Liquid fuels - emission calc.'!H33*'Liquid fuels - emission calc.'!D88/10^6,0)</f>
        <v>0</v>
      </c>
      <c r="E88" s="115" t="s">
        <v>126</v>
      </c>
      <c r="F88" s="1053"/>
      <c r="G88" s="71"/>
      <c r="H88" s="71"/>
      <c r="I88" s="71"/>
      <c r="J88" s="71"/>
      <c r="K88" s="72"/>
      <c r="L88" s="72"/>
      <c r="M88" s="72"/>
      <c r="N88" s="113" t="s">
        <v>150</v>
      </c>
      <c r="O88" s="135">
        <v>2</v>
      </c>
      <c r="P88" s="81"/>
      <c r="Q88" s="71"/>
      <c r="R88" s="72"/>
      <c r="S88" s="71"/>
      <c r="T88" s="71"/>
      <c r="U88" s="93"/>
      <c r="V88" s="93"/>
    </row>
    <row r="89" spans="1:22" s="215" customFormat="1" ht="14.25" customHeight="1">
      <c r="A89" s="71"/>
      <c r="B89" s="71"/>
      <c r="C89" s="148" t="s">
        <v>142</v>
      </c>
      <c r="D89" s="580">
        <f>IF(D72="Y",O90,0)</f>
        <v>0</v>
      </c>
      <c r="E89" s="115" t="s">
        <v>126</v>
      </c>
      <c r="F89" s="1053"/>
      <c r="G89" s="71"/>
      <c r="H89" s="71"/>
      <c r="I89" s="71"/>
      <c r="J89" s="71"/>
      <c r="K89" s="72"/>
      <c r="L89" s="72"/>
      <c r="M89" s="72"/>
      <c r="N89" s="80" t="s">
        <v>157</v>
      </c>
      <c r="O89" s="144">
        <f>IF('Liquid fuels - emission calc.'!D31="n",'Liquid fuels - NOx Analysis'!O85/('Liquid fuels - emission calc.'!D33*8760/100),'Liquid fuels - NOx Analysis'!O87/('Liquid fuels - emission calc.'!D33*8760/100))</f>
        <v>1.8264840182648401</v>
      </c>
      <c r="P89" s="81" t="s">
        <v>158</v>
      </c>
      <c r="Q89" s="71"/>
      <c r="R89" s="72"/>
      <c r="S89" s="71"/>
      <c r="T89" s="71"/>
      <c r="U89" s="93"/>
      <c r="V89" s="93"/>
    </row>
    <row r="90" spans="1:22" s="215" customFormat="1" ht="14.25" customHeight="1" thickBot="1">
      <c r="A90" s="71"/>
      <c r="B90" s="71"/>
      <c r="C90" s="80"/>
      <c r="D90" s="164"/>
      <c r="E90" s="81"/>
      <c r="F90" s="71"/>
      <c r="G90" s="71"/>
      <c r="H90" s="71"/>
      <c r="I90" s="71"/>
      <c r="J90" s="71"/>
      <c r="K90" s="72"/>
      <c r="L90" s="72"/>
      <c r="M90" s="72"/>
      <c r="N90" s="86" t="s">
        <v>159</v>
      </c>
      <c r="O90" s="145">
        <f>(O84*O67+O88*O84)/O89</f>
        <v>1369434.375</v>
      </c>
      <c r="P90" s="87" t="s">
        <v>126</v>
      </c>
      <c r="Q90" s="71"/>
      <c r="R90" s="72"/>
      <c r="S90" s="71"/>
      <c r="T90" s="71"/>
      <c r="U90" s="93"/>
      <c r="V90" s="93"/>
    </row>
    <row r="91" spans="1:22" s="215" customFormat="1" ht="14.25" customHeight="1">
      <c r="A91" s="71"/>
      <c r="B91" s="71"/>
      <c r="C91" s="149" t="s">
        <v>293</v>
      </c>
      <c r="D91" s="216">
        <f>D88+D86+D84+D89+D79</f>
        <v>0</v>
      </c>
      <c r="E91" s="150" t="s">
        <v>126</v>
      </c>
      <c r="F91" s="71"/>
      <c r="G91" s="71"/>
      <c r="H91" s="71"/>
      <c r="I91" s="71"/>
      <c r="J91" s="71"/>
      <c r="K91" s="72"/>
      <c r="L91" s="72"/>
      <c r="M91" s="72"/>
      <c r="N91" s="72"/>
      <c r="O91" s="72"/>
      <c r="P91" s="71"/>
      <c r="Q91" s="71"/>
      <c r="R91" s="72"/>
      <c r="S91" s="71"/>
      <c r="T91" s="71"/>
      <c r="U91" s="93"/>
      <c r="V91" s="93"/>
    </row>
    <row r="92" spans="1:22" s="215" customFormat="1" ht="14.25" customHeight="1">
      <c r="A92" s="71"/>
      <c r="B92" s="71"/>
      <c r="C92" s="149" t="s">
        <v>36</v>
      </c>
      <c r="D92" s="216">
        <f>D91+D77</f>
        <v>0</v>
      </c>
      <c r="E92" s="150" t="s">
        <v>126</v>
      </c>
      <c r="F92" s="71"/>
      <c r="G92" s="71"/>
      <c r="H92" s="71"/>
      <c r="I92" s="71"/>
      <c r="J92" s="71"/>
      <c r="K92" s="72"/>
      <c r="L92" s="72"/>
      <c r="M92" s="72"/>
      <c r="N92" s="72"/>
      <c r="O92" s="72"/>
      <c r="P92" s="71"/>
      <c r="Q92" s="71"/>
      <c r="R92" s="72"/>
      <c r="S92" s="71"/>
      <c r="T92" s="71"/>
      <c r="U92" s="93"/>
      <c r="V92" s="93"/>
    </row>
    <row r="93" spans="1:22" s="215" customFormat="1" ht="14.25" customHeight="1">
      <c r="A93" s="71"/>
      <c r="B93" s="71"/>
      <c r="C93" s="149" t="s">
        <v>57</v>
      </c>
      <c r="D93" s="216" t="str">
        <f>IF(D72="y",D92/D73,"n/a")</f>
        <v>n/a</v>
      </c>
      <c r="E93" s="150" t="s">
        <v>38</v>
      </c>
      <c r="F93" s="71"/>
      <c r="G93" s="71"/>
      <c r="H93" s="71"/>
      <c r="I93" s="71"/>
      <c r="J93" s="71"/>
      <c r="K93" s="72"/>
      <c r="L93" s="72"/>
      <c r="M93" s="72"/>
      <c r="N93" s="72"/>
      <c r="O93" s="72"/>
      <c r="P93" s="71"/>
      <c r="Q93" s="71"/>
      <c r="R93" s="72"/>
      <c r="S93" s="71"/>
      <c r="T93" s="71"/>
      <c r="U93" s="93"/>
      <c r="V93" s="93"/>
    </row>
    <row r="94" spans="1:22" s="215" customFormat="1" ht="14.25" customHeight="1">
      <c r="A94" s="71"/>
      <c r="B94" s="71"/>
      <c r="C94" s="141" t="s">
        <v>285</v>
      </c>
      <c r="D94" s="171" t="str">
        <f>IF(D92&gt;0,D77/D92,"n/a")</f>
        <v>n/a</v>
      </c>
      <c r="E94" s="173"/>
      <c r="F94" s="71"/>
      <c r="G94" s="71"/>
      <c r="H94" s="71"/>
      <c r="I94" s="71"/>
      <c r="J94" s="71"/>
      <c r="K94" s="72"/>
      <c r="L94" s="72"/>
      <c r="M94" s="72"/>
      <c r="N94" s="72"/>
      <c r="O94" s="72"/>
      <c r="P94" s="71"/>
      <c r="Q94" s="71"/>
      <c r="R94" s="72"/>
      <c r="S94" s="71"/>
      <c r="T94" s="71"/>
      <c r="U94" s="93"/>
      <c r="V94" s="93"/>
    </row>
    <row r="95" spans="1:22" s="215" customFormat="1" ht="14.25" customHeight="1" thickBot="1">
      <c r="A95" s="71"/>
      <c r="B95" s="71"/>
      <c r="C95" s="165" t="s">
        <v>286</v>
      </c>
      <c r="D95" s="172" t="str">
        <f>IF(D92&gt;0,D91/D92,"n/a")</f>
        <v>n/a</v>
      </c>
      <c r="E95" s="174"/>
      <c r="F95" s="71"/>
      <c r="G95" s="71"/>
      <c r="H95" s="71"/>
      <c r="I95" s="71"/>
      <c r="J95" s="71"/>
      <c r="K95" s="72"/>
      <c r="L95" s="72"/>
      <c r="M95" s="72"/>
      <c r="N95" s="72"/>
      <c r="O95" s="72"/>
      <c r="P95" s="71"/>
      <c r="Q95" s="71"/>
      <c r="R95" s="72"/>
      <c r="S95" s="71"/>
      <c r="T95" s="71"/>
      <c r="U95" s="93"/>
      <c r="V95" s="93"/>
    </row>
    <row r="96" spans="1:22" s="215" customFormat="1" ht="14.25" customHeight="1" thickBot="1">
      <c r="A96" s="71"/>
      <c r="B96" s="71"/>
      <c r="C96" s="71"/>
      <c r="D96" s="71"/>
      <c r="E96" s="71"/>
      <c r="F96" s="71"/>
      <c r="G96" s="71"/>
      <c r="H96" s="71"/>
      <c r="I96" s="71"/>
      <c r="J96" s="71"/>
      <c r="K96" s="72"/>
      <c r="L96" s="72"/>
      <c r="M96" s="72"/>
      <c r="N96" s="72"/>
      <c r="O96" s="72"/>
      <c r="P96" s="71"/>
      <c r="Q96" s="71"/>
      <c r="R96" s="72"/>
      <c r="S96" s="71"/>
      <c r="T96" s="71"/>
      <c r="U96" s="93"/>
      <c r="V96" s="93"/>
    </row>
    <row r="97" spans="1:30" s="215" customFormat="1" ht="14.25" customHeight="1">
      <c r="A97" s="71"/>
      <c r="B97" s="71"/>
      <c r="C97" s="1091" t="s">
        <v>118</v>
      </c>
      <c r="D97" s="1092"/>
      <c r="E97" s="1092"/>
      <c r="F97" s="1093"/>
      <c r="G97" s="71"/>
      <c r="H97" s="71"/>
      <c r="I97" s="71"/>
      <c r="J97" s="71"/>
      <c r="K97" s="72"/>
      <c r="L97" s="72"/>
      <c r="M97" s="72"/>
      <c r="N97" s="72"/>
      <c r="O97" s="72"/>
      <c r="P97" s="71"/>
      <c r="Q97" s="71"/>
      <c r="R97" s="72"/>
      <c r="S97" s="71"/>
      <c r="T97" s="71"/>
      <c r="U97" s="93"/>
      <c r="V97" s="93"/>
    </row>
    <row r="98" spans="1:30" s="215" customFormat="1" ht="14.25" customHeight="1">
      <c r="A98" s="71"/>
      <c r="B98" s="71"/>
      <c r="C98" s="80" t="s">
        <v>113</v>
      </c>
      <c r="D98" s="152">
        <f>IF('Liquid fuels - NOx Analysis'!D20&lt;1,IF('Liquid fuels - NOx Analysis'!D12&lt;1,'Liquid fuels - emission calc.'!D92,'Liquid fuels - emission calc.'!D92-'Liquid fuels - NOx Analysis'!D12),'Liquid fuels - emission calc.'!D92-'Liquid fuels - NOx Analysis'!D20)</f>
        <v>350</v>
      </c>
      <c r="E98" s="159" t="s">
        <v>409</v>
      </c>
      <c r="F98" s="81"/>
      <c r="G98" s="71"/>
      <c r="H98" s="71"/>
      <c r="I98" s="71"/>
      <c r="J98" s="71"/>
      <c r="K98" s="72"/>
      <c r="L98" s="72"/>
      <c r="M98" s="72"/>
      <c r="N98" s="72"/>
      <c r="O98" s="72"/>
      <c r="P98" s="71"/>
      <c r="Q98" s="71"/>
      <c r="R98" s="72"/>
      <c r="S98" s="71"/>
      <c r="T98" s="71"/>
      <c r="U98" s="93"/>
      <c r="V98" s="93"/>
    </row>
    <row r="99" spans="1:30" s="215" customFormat="1" ht="14.25" customHeight="1">
      <c r="A99" s="71"/>
      <c r="B99" s="71"/>
      <c r="C99" s="80" t="s">
        <v>113</v>
      </c>
      <c r="D99" s="108">
        <f>D98/'Liquid fuels - emission calc.'!D90</f>
        <v>334.35748216685903</v>
      </c>
      <c r="E99" s="159" t="s">
        <v>1021</v>
      </c>
      <c r="F99" s="81"/>
      <c r="G99" s="71"/>
      <c r="H99" s="71"/>
      <c r="I99" s="71"/>
      <c r="J99" s="71"/>
      <c r="K99" s="72"/>
      <c r="L99" s="72"/>
      <c r="M99" s="72"/>
      <c r="N99" s="72"/>
      <c r="O99" s="72"/>
      <c r="P99" s="71"/>
      <c r="Q99" s="71"/>
      <c r="R99" s="72"/>
      <c r="S99" s="71"/>
      <c r="T99" s="71"/>
      <c r="U99" s="93"/>
      <c r="V99" s="93"/>
    </row>
    <row r="100" spans="1:30" s="215" customFormat="1" ht="14.25" customHeight="1">
      <c r="A100" s="71"/>
      <c r="B100" s="71"/>
      <c r="C100" s="80" t="s">
        <v>114</v>
      </c>
      <c r="D100" s="114">
        <f>D101+D102</f>
        <v>4046.1230442978331</v>
      </c>
      <c r="E100" s="88" t="s">
        <v>115</v>
      </c>
      <c r="F100" s="109" t="s">
        <v>121</v>
      </c>
      <c r="G100" s="71"/>
      <c r="H100" s="71"/>
      <c r="I100" s="71"/>
      <c r="J100" s="71"/>
      <c r="K100" s="72"/>
      <c r="L100" s="72"/>
      <c r="M100" s="72"/>
      <c r="N100" s="72"/>
      <c r="O100" s="72"/>
      <c r="P100" s="71"/>
      <c r="Q100" s="71"/>
      <c r="R100" s="72"/>
      <c r="S100" s="71"/>
      <c r="T100" s="71"/>
      <c r="U100" s="93"/>
      <c r="V100" s="93"/>
    </row>
    <row r="101" spans="1:30" s="215" customFormat="1" ht="14.25" customHeight="1">
      <c r="A101" s="71"/>
      <c r="B101" s="71"/>
      <c r="C101" s="80" t="s">
        <v>119</v>
      </c>
      <c r="D101" s="114">
        <f>D35</f>
        <v>1156.0351555136665</v>
      </c>
      <c r="E101" s="88" t="s">
        <v>115</v>
      </c>
      <c r="F101" s="110">
        <f>D101/D$100</f>
        <v>0.2857142857142857</v>
      </c>
      <c r="G101" s="71"/>
      <c r="H101" s="71"/>
      <c r="I101" s="71"/>
      <c r="J101" s="71"/>
      <c r="K101" s="72"/>
      <c r="L101" s="72"/>
      <c r="M101" s="72"/>
      <c r="N101" s="72"/>
      <c r="O101" s="72"/>
      <c r="P101" s="71"/>
      <c r="Q101" s="71"/>
      <c r="R101" s="72"/>
      <c r="S101" s="71"/>
      <c r="T101" s="71"/>
      <c r="U101" s="93"/>
      <c r="V101" s="93"/>
    </row>
    <row r="102" spans="1:30" ht="15.75" thickBot="1">
      <c r="A102" s="71"/>
      <c r="B102" s="71"/>
      <c r="C102" s="86" t="s">
        <v>120</v>
      </c>
      <c r="D102" s="210">
        <f>(D18-D20)/'Liquid fuels - emission calc.'!D90*'Liquid fuels - emission calc.'!D86/10^9</f>
        <v>2890.0878887841668</v>
      </c>
      <c r="E102" s="92" t="s">
        <v>115</v>
      </c>
      <c r="F102" s="111">
        <f>D102/D$100</f>
        <v>0.71428571428571441</v>
      </c>
      <c r="G102" s="71"/>
      <c r="H102" s="71"/>
      <c r="I102" s="71"/>
      <c r="J102" s="71"/>
      <c r="K102" s="72"/>
      <c r="L102" s="72"/>
      <c r="M102" s="72"/>
      <c r="N102" s="72"/>
      <c r="O102" s="72"/>
      <c r="P102" s="72"/>
      <c r="Q102" s="71"/>
      <c r="R102" s="71"/>
      <c r="S102" s="71"/>
      <c r="T102" s="71"/>
    </row>
    <row r="104" spans="1:30" ht="27.75">
      <c r="A104" s="75"/>
      <c r="B104" s="140"/>
      <c r="C104" s="206" t="s">
        <v>1067</v>
      </c>
      <c r="D104" s="140"/>
      <c r="E104" s="140"/>
      <c r="F104" s="140"/>
      <c r="G104" s="140"/>
      <c r="H104" s="140"/>
      <c r="I104" s="140"/>
      <c r="J104" s="140"/>
      <c r="K104" s="140"/>
      <c r="L104" s="140"/>
      <c r="M104" s="140"/>
      <c r="N104" s="206"/>
      <c r="O104" s="140"/>
      <c r="P104" s="140"/>
      <c r="Q104" s="140"/>
      <c r="R104" s="75"/>
      <c r="S104" s="75"/>
      <c r="T104" s="75"/>
      <c r="U104" s="75"/>
      <c r="V104" s="75"/>
    </row>
    <row r="106" spans="1:30">
      <c r="B106" s="564" t="s">
        <v>186</v>
      </c>
      <c r="C106" s="564" t="s">
        <v>200</v>
      </c>
      <c r="P106" s="564" t="s">
        <v>215</v>
      </c>
      <c r="Q106" s="564" t="s">
        <v>216</v>
      </c>
      <c r="R106" s="564" t="s">
        <v>217</v>
      </c>
    </row>
    <row r="107" spans="1:30">
      <c r="C107" s="564" t="s">
        <v>199</v>
      </c>
      <c r="D107" s="564" t="s">
        <v>201</v>
      </c>
      <c r="E107" s="564" t="s">
        <v>202</v>
      </c>
      <c r="F107" s="564" t="s">
        <v>203</v>
      </c>
      <c r="P107" s="564">
        <v>2010</v>
      </c>
      <c r="Q107" s="565">
        <f>R$107/R107</f>
        <v>1</v>
      </c>
      <c r="R107" s="564">
        <v>550.79999999999995</v>
      </c>
      <c r="T107" s="565"/>
      <c r="U107" s="565"/>
      <c r="V107" s="565"/>
      <c r="W107" s="565"/>
      <c r="X107" s="565"/>
      <c r="Y107" s="565"/>
      <c r="Z107" s="565"/>
      <c r="AA107" s="565"/>
      <c r="AB107" s="565"/>
      <c r="AC107" s="565"/>
      <c r="AD107" s="565"/>
    </row>
    <row r="108" spans="1:30">
      <c r="B108" s="564" t="s">
        <v>195</v>
      </c>
      <c r="C108" s="564" t="s">
        <v>194</v>
      </c>
      <c r="D108" s="10">
        <v>1.2</v>
      </c>
      <c r="E108" s="564">
        <v>2006</v>
      </c>
      <c r="F108" s="564" t="s">
        <v>192</v>
      </c>
      <c r="G108" s="565"/>
      <c r="P108" s="564">
        <f>P107-1</f>
        <v>2009</v>
      </c>
      <c r="Q108" s="565">
        <f t="shared" ref="Q108:Q117" si="0">R$107/R108</f>
        <v>1.0553745928338762</v>
      </c>
      <c r="R108" s="564">
        <v>521.9</v>
      </c>
    </row>
    <row r="109" spans="1:30">
      <c r="B109" s="564" t="s">
        <v>196</v>
      </c>
      <c r="C109" s="564" t="s">
        <v>193</v>
      </c>
      <c r="D109" s="10">
        <v>1.36</v>
      </c>
      <c r="E109" s="564">
        <v>2007</v>
      </c>
      <c r="F109" s="564" t="s">
        <v>191</v>
      </c>
      <c r="G109" s="565"/>
      <c r="P109" s="564">
        <f t="shared" ref="P109:P116" si="1">P108-1</f>
        <v>2008</v>
      </c>
      <c r="Q109" s="565">
        <f t="shared" si="0"/>
        <v>0.95724713242961412</v>
      </c>
      <c r="R109" s="564">
        <v>575.4</v>
      </c>
      <c r="U109" s="565"/>
    </row>
    <row r="110" spans="1:30">
      <c r="P110" s="564">
        <f t="shared" si="1"/>
        <v>2007</v>
      </c>
      <c r="Q110" s="565">
        <f t="shared" si="0"/>
        <v>1.048344118766654</v>
      </c>
      <c r="R110" s="564">
        <v>525.4</v>
      </c>
      <c r="U110" s="565"/>
    </row>
    <row r="111" spans="1:30">
      <c r="B111" s="564" t="s">
        <v>205</v>
      </c>
      <c r="C111" s="12">
        <f>'Liquid fuels - emission calc.'!D21/100</f>
        <v>0.4</v>
      </c>
      <c r="D111" s="564" t="s">
        <v>206</v>
      </c>
      <c r="P111" s="564">
        <f t="shared" si="1"/>
        <v>2006</v>
      </c>
      <c r="Q111" s="565">
        <f t="shared" si="0"/>
        <v>1.1024819855884707</v>
      </c>
      <c r="R111" s="564">
        <v>499.6</v>
      </c>
      <c r="U111" s="565"/>
    </row>
    <row r="112" spans="1:30">
      <c r="P112" s="564">
        <f>P111-1</f>
        <v>2005</v>
      </c>
      <c r="Q112" s="565">
        <f t="shared" si="0"/>
        <v>1.176420333190944</v>
      </c>
      <c r="R112" s="564">
        <v>468.2</v>
      </c>
      <c r="U112" s="565"/>
    </row>
    <row r="113" spans="2:21" ht="15.75" thickBot="1">
      <c r="P113" s="564">
        <f t="shared" si="1"/>
        <v>2004</v>
      </c>
      <c r="Q113" s="565">
        <f t="shared" si="0"/>
        <v>1.2399819900945519</v>
      </c>
      <c r="R113" s="564">
        <v>444.2</v>
      </c>
      <c r="U113" s="565"/>
    </row>
    <row r="114" spans="2:21">
      <c r="B114" s="23"/>
      <c r="C114" s="55"/>
      <c r="D114" s="1094" t="s">
        <v>189</v>
      </c>
      <c r="E114" s="1095"/>
      <c r="F114" s="1096" t="s">
        <v>190</v>
      </c>
      <c r="G114" s="1097"/>
      <c r="H114" s="28"/>
      <c r="I114" s="1098" t="s">
        <v>198</v>
      </c>
      <c r="J114" s="1098"/>
      <c r="K114" s="1098"/>
      <c r="L114" s="1098"/>
      <c r="M114" s="1098"/>
      <c r="N114" s="1099"/>
      <c r="P114" s="564">
        <f t="shared" si="1"/>
        <v>2003</v>
      </c>
      <c r="Q114" s="565">
        <f t="shared" si="0"/>
        <v>1.3711725168035847</v>
      </c>
      <c r="R114" s="564">
        <v>401.7</v>
      </c>
      <c r="U114" s="565"/>
    </row>
    <row r="115" spans="2:21">
      <c r="B115" s="24"/>
      <c r="C115" s="44"/>
      <c r="D115" s="41" t="s">
        <v>143</v>
      </c>
      <c r="E115" s="17" t="s">
        <v>144</v>
      </c>
      <c r="F115" s="47" t="s">
        <v>143</v>
      </c>
      <c r="G115" s="13" t="s">
        <v>144</v>
      </c>
      <c r="H115" s="29" t="s">
        <v>197</v>
      </c>
      <c r="I115" s="29" t="s">
        <v>143</v>
      </c>
      <c r="J115" s="29" t="s">
        <v>144</v>
      </c>
      <c r="K115" s="29" t="s">
        <v>145</v>
      </c>
      <c r="L115" s="29" t="s">
        <v>209</v>
      </c>
      <c r="M115" s="29" t="s">
        <v>214</v>
      </c>
      <c r="N115" s="30" t="s">
        <v>221</v>
      </c>
      <c r="P115" s="564">
        <f>P114-1</f>
        <v>2002</v>
      </c>
      <c r="Q115" s="565">
        <f t="shared" si="0"/>
        <v>1.3923154701718905</v>
      </c>
      <c r="R115" s="564">
        <v>395.6</v>
      </c>
      <c r="U115" s="565"/>
    </row>
    <row r="116" spans="2:21">
      <c r="B116" s="6" t="s">
        <v>187</v>
      </c>
      <c r="C116" s="45" t="s">
        <v>188</v>
      </c>
      <c r="D116" s="42">
        <f>I116*$D$109*$Q110</f>
        <v>28.514960030452993</v>
      </c>
      <c r="E116" s="21">
        <f>J116*$D$109*$Q110</f>
        <v>28.514960030452993</v>
      </c>
      <c r="F116" s="48">
        <f>D116*$C$111</f>
        <v>11.405984012181198</v>
      </c>
      <c r="G116" s="22">
        <f>E116*$C$111</f>
        <v>11.405984012181198</v>
      </c>
      <c r="H116" s="31" t="s">
        <v>204</v>
      </c>
      <c r="I116" s="31">
        <v>20</v>
      </c>
      <c r="J116" s="31">
        <v>20</v>
      </c>
      <c r="K116" s="31" t="s">
        <v>210</v>
      </c>
      <c r="L116" s="31" t="s">
        <v>191</v>
      </c>
      <c r="M116" s="31">
        <v>2007</v>
      </c>
      <c r="N116" s="32"/>
      <c r="P116" s="564">
        <f t="shared" si="1"/>
        <v>2001</v>
      </c>
      <c r="Q116" s="565">
        <f t="shared" si="0"/>
        <v>1.396905909206188</v>
      </c>
      <c r="R116" s="564">
        <v>394.3</v>
      </c>
      <c r="U116" s="565"/>
    </row>
    <row r="117" spans="2:21">
      <c r="B117" s="1" t="s">
        <v>207</v>
      </c>
      <c r="C117" s="19" t="s">
        <v>208</v>
      </c>
      <c r="D117" s="9">
        <f>F117*$C111</f>
        <v>2.3528406663818879</v>
      </c>
      <c r="E117" s="18">
        <f>G117*$C111</f>
        <v>2.3528406663818879</v>
      </c>
      <c r="F117" s="39">
        <f>I117*$Q112</f>
        <v>5.8821016659547194</v>
      </c>
      <c r="G117" s="14">
        <f>J117*$Q112</f>
        <v>5.8821016659547194</v>
      </c>
      <c r="H117" s="33" t="s">
        <v>213</v>
      </c>
      <c r="I117" s="33">
        <v>5</v>
      </c>
      <c r="J117" s="33">
        <v>5</v>
      </c>
      <c r="K117" s="33" t="s">
        <v>211</v>
      </c>
      <c r="L117" s="33" t="s">
        <v>212</v>
      </c>
      <c r="M117" s="33">
        <v>2005</v>
      </c>
      <c r="N117" s="34"/>
      <c r="P117" s="564">
        <v>2000</v>
      </c>
      <c r="Q117" s="565">
        <f t="shared" si="0"/>
        <v>1.3976148185739659</v>
      </c>
      <c r="R117" s="564">
        <v>394.1</v>
      </c>
      <c r="U117" s="565"/>
    </row>
    <row r="118" spans="2:21">
      <c r="B118" s="1" t="s">
        <v>207</v>
      </c>
      <c r="C118" s="19" t="s">
        <v>218</v>
      </c>
      <c r="D118" s="9">
        <f>I118/$D108</f>
        <v>5.8333333333333339</v>
      </c>
      <c r="E118" s="18">
        <f>J118/$D108</f>
        <v>20.833333333333336</v>
      </c>
      <c r="F118" s="39">
        <f>D118*$C111</f>
        <v>2.3333333333333335</v>
      </c>
      <c r="G118" s="14">
        <f>E118*$C111</f>
        <v>8.3333333333333339</v>
      </c>
      <c r="H118" s="33"/>
      <c r="I118" s="33">
        <v>7</v>
      </c>
      <c r="J118" s="33">
        <v>25</v>
      </c>
      <c r="K118" s="33" t="s">
        <v>219</v>
      </c>
      <c r="L118" s="33" t="s">
        <v>191</v>
      </c>
      <c r="M118" s="33"/>
      <c r="N118" s="34" t="s">
        <v>222</v>
      </c>
      <c r="U118" s="565"/>
    </row>
    <row r="119" spans="2:21">
      <c r="B119" s="1" t="s">
        <v>207</v>
      </c>
      <c r="C119" s="19" t="s">
        <v>218</v>
      </c>
      <c r="D119" s="9">
        <f>I119/$D108</f>
        <v>5.8333333333333339</v>
      </c>
      <c r="E119" s="18">
        <f>J119/$D108</f>
        <v>30</v>
      </c>
      <c r="F119" s="39">
        <f>D119*$C111</f>
        <v>2.3333333333333335</v>
      </c>
      <c r="G119" s="14">
        <f>E119*$C111</f>
        <v>12</v>
      </c>
      <c r="H119" s="33"/>
      <c r="I119" s="33">
        <v>7</v>
      </c>
      <c r="J119" s="33">
        <v>36</v>
      </c>
      <c r="K119" s="33" t="s">
        <v>219</v>
      </c>
      <c r="L119" s="33" t="s">
        <v>192</v>
      </c>
      <c r="M119" s="33"/>
      <c r="N119" s="34" t="s">
        <v>222</v>
      </c>
      <c r="U119" s="565"/>
    </row>
    <row r="120" spans="2:21">
      <c r="B120" s="25" t="s">
        <v>207</v>
      </c>
      <c r="C120" s="46" t="s">
        <v>218</v>
      </c>
      <c r="D120" s="43">
        <f>I120/$D108*$Q114</f>
        <v>17.139656460044808</v>
      </c>
      <c r="E120" s="20">
        <f>J120/$D108*$Q114</f>
        <v>17.139656460044808</v>
      </c>
      <c r="F120" s="49">
        <f>D120*$C111</f>
        <v>6.8558625840179239</v>
      </c>
      <c r="G120" s="16">
        <f>E120*$C111</f>
        <v>6.8558625840179239</v>
      </c>
      <c r="H120" s="35" t="s">
        <v>223</v>
      </c>
      <c r="I120" s="35">
        <v>15</v>
      </c>
      <c r="J120" s="35">
        <v>15</v>
      </c>
      <c r="K120" s="35" t="s">
        <v>219</v>
      </c>
      <c r="L120" s="35" t="s">
        <v>220</v>
      </c>
      <c r="M120" s="35">
        <v>2003</v>
      </c>
      <c r="N120" s="36"/>
    </row>
    <row r="121" spans="2:21">
      <c r="B121" s="1"/>
      <c r="C121" s="19"/>
      <c r="D121" s="402"/>
      <c r="E121" s="19"/>
      <c r="F121" s="8"/>
      <c r="G121" s="15"/>
      <c r="H121" s="33"/>
      <c r="I121" s="33"/>
      <c r="J121" s="33"/>
      <c r="K121" s="33"/>
      <c r="L121" s="33"/>
      <c r="M121" s="33"/>
      <c r="N121" s="34"/>
    </row>
    <row r="122" spans="2:21">
      <c r="B122" s="6" t="s">
        <v>187</v>
      </c>
      <c r="C122" s="45" t="s">
        <v>139</v>
      </c>
      <c r="D122" s="42">
        <f>I122*$D$109*$Q$110</f>
        <v>114.05984012181197</v>
      </c>
      <c r="E122" s="21">
        <f>J122*$D$109*$Q$110</f>
        <v>185.34724019794444</v>
      </c>
      <c r="F122" s="48">
        <f t="shared" ref="F122:G125" si="2">D122*$C$111</f>
        <v>45.623936048724794</v>
      </c>
      <c r="G122" s="22">
        <f t="shared" si="2"/>
        <v>74.138896079177783</v>
      </c>
      <c r="H122" s="31" t="s">
        <v>225</v>
      </c>
      <c r="I122" s="31">
        <v>80</v>
      </c>
      <c r="J122" s="31">
        <v>130</v>
      </c>
      <c r="K122" s="31" t="s">
        <v>210</v>
      </c>
      <c r="L122" s="31" t="s">
        <v>192</v>
      </c>
      <c r="M122" s="31">
        <v>2007</v>
      </c>
      <c r="N122" s="32"/>
    </row>
    <row r="123" spans="2:21">
      <c r="B123" s="1" t="s">
        <v>187</v>
      </c>
      <c r="C123" s="19" t="s">
        <v>139</v>
      </c>
      <c r="D123" s="9">
        <f>I123*$D$109*$Q$110</f>
        <v>285.14960030452988</v>
      </c>
      <c r="E123" s="18">
        <f>J123*$D$109*$Q$110</f>
        <v>299.4070803197564</v>
      </c>
      <c r="F123" s="39">
        <f t="shared" si="2"/>
        <v>114.05984012181196</v>
      </c>
      <c r="G123" s="14">
        <f t="shared" si="2"/>
        <v>119.76283212790257</v>
      </c>
      <c r="H123" s="33" t="s">
        <v>225</v>
      </c>
      <c r="I123" s="33">
        <v>200</v>
      </c>
      <c r="J123" s="33">
        <v>210</v>
      </c>
      <c r="K123" s="33" t="s">
        <v>210</v>
      </c>
      <c r="L123" s="33" t="s">
        <v>192</v>
      </c>
      <c r="M123" s="33">
        <v>2007</v>
      </c>
      <c r="N123" s="34" t="s">
        <v>224</v>
      </c>
    </row>
    <row r="124" spans="2:21">
      <c r="B124" s="1" t="s">
        <v>187</v>
      </c>
      <c r="C124" s="19" t="s">
        <v>139</v>
      </c>
      <c r="D124" s="9">
        <f>I124*$Q110</f>
        <v>52.4172059383327</v>
      </c>
      <c r="E124" s="18">
        <f>J124*$Q110</f>
        <v>52.4172059383327</v>
      </c>
      <c r="F124" s="39">
        <f t="shared" si="2"/>
        <v>20.966882375333082</v>
      </c>
      <c r="G124" s="14">
        <f t="shared" si="2"/>
        <v>20.966882375333082</v>
      </c>
      <c r="H124" s="33" t="s">
        <v>225</v>
      </c>
      <c r="I124" s="33">
        <v>50</v>
      </c>
      <c r="J124" s="33">
        <v>50</v>
      </c>
      <c r="K124" s="33" t="s">
        <v>226</v>
      </c>
      <c r="L124" s="33" t="s">
        <v>227</v>
      </c>
      <c r="M124" s="33">
        <v>2007</v>
      </c>
      <c r="N124" s="34"/>
    </row>
    <row r="125" spans="2:21">
      <c r="B125" s="1" t="s">
        <v>187</v>
      </c>
      <c r="C125" s="19" t="s">
        <v>139</v>
      </c>
      <c r="D125" s="9">
        <f>I125*$D$109*$Q$110</f>
        <v>85.544880091358976</v>
      </c>
      <c r="E125" s="18">
        <f>J125*$D$109*$Q$110</f>
        <v>114.05984012181197</v>
      </c>
      <c r="F125" s="39">
        <f t="shared" si="2"/>
        <v>34.217952036543593</v>
      </c>
      <c r="G125" s="14">
        <f t="shared" si="2"/>
        <v>45.623936048724794</v>
      </c>
      <c r="H125" s="33" t="s">
        <v>204</v>
      </c>
      <c r="I125" s="33">
        <v>60</v>
      </c>
      <c r="J125" s="33">
        <v>80</v>
      </c>
      <c r="K125" s="33" t="s">
        <v>210</v>
      </c>
      <c r="L125" s="33" t="s">
        <v>191</v>
      </c>
      <c r="M125" s="33">
        <v>2007</v>
      </c>
      <c r="N125" s="34" t="s">
        <v>228</v>
      </c>
    </row>
    <row r="126" spans="2:21">
      <c r="B126" s="1" t="s">
        <v>207</v>
      </c>
      <c r="C126" s="19" t="s">
        <v>139</v>
      </c>
      <c r="D126" s="9">
        <f>F126/$C111</f>
        <v>147.05254164886799</v>
      </c>
      <c r="E126" s="18">
        <f>G126/$C111</f>
        <v>205.8735583084152</v>
      </c>
      <c r="F126" s="39">
        <f>I126*$Q112</f>
        <v>58.821016659547197</v>
      </c>
      <c r="G126" s="14">
        <f>J126*$Q112</f>
        <v>82.349423323366082</v>
      </c>
      <c r="H126" s="33" t="s">
        <v>213</v>
      </c>
      <c r="I126" s="33">
        <v>50</v>
      </c>
      <c r="J126" s="33">
        <v>70</v>
      </c>
      <c r="K126" s="33" t="s">
        <v>211</v>
      </c>
      <c r="L126" s="33" t="s">
        <v>212</v>
      </c>
      <c r="M126" s="33">
        <v>2005</v>
      </c>
      <c r="N126" s="34"/>
    </row>
    <row r="127" spans="2:21">
      <c r="B127" s="1" t="s">
        <v>207</v>
      </c>
      <c r="C127" s="19" t="s">
        <v>139</v>
      </c>
      <c r="D127" s="9">
        <f t="shared" ref="D127:E129" si="3">I127/$D$108*$Q$111</f>
        <v>50.530424339471573</v>
      </c>
      <c r="E127" s="18">
        <f t="shared" si="3"/>
        <v>128.6228983186549</v>
      </c>
      <c r="F127" s="39">
        <f t="shared" ref="F127:G132" si="4">D127*$C$111</f>
        <v>20.212169735788631</v>
      </c>
      <c r="G127" s="14">
        <f t="shared" si="4"/>
        <v>51.449159327461963</v>
      </c>
      <c r="H127" s="33"/>
      <c r="I127" s="33">
        <v>55</v>
      </c>
      <c r="J127" s="33">
        <v>140</v>
      </c>
      <c r="K127" s="33" t="s">
        <v>219</v>
      </c>
      <c r="L127" s="33" t="s">
        <v>192</v>
      </c>
      <c r="M127" s="33"/>
      <c r="N127" s="34"/>
    </row>
    <row r="128" spans="2:21">
      <c r="B128" s="1" t="s">
        <v>207</v>
      </c>
      <c r="C128" s="19" t="s">
        <v>139</v>
      </c>
      <c r="D128" s="9">
        <f t="shared" si="3"/>
        <v>41.343074459567653</v>
      </c>
      <c r="E128" s="18">
        <f t="shared" si="3"/>
        <v>82.686148919135306</v>
      </c>
      <c r="F128" s="39">
        <f t="shared" si="4"/>
        <v>16.537229783827062</v>
      </c>
      <c r="G128" s="14">
        <f t="shared" si="4"/>
        <v>33.074459567654124</v>
      </c>
      <c r="H128" s="33"/>
      <c r="I128" s="33">
        <v>45</v>
      </c>
      <c r="J128" s="33">
        <v>90</v>
      </c>
      <c r="K128" s="33" t="s">
        <v>219</v>
      </c>
      <c r="L128" s="33" t="s">
        <v>191</v>
      </c>
      <c r="M128" s="33"/>
      <c r="N128" s="34"/>
    </row>
    <row r="129" spans="2:14">
      <c r="B129" s="1" t="s">
        <v>207</v>
      </c>
      <c r="C129" s="19" t="s">
        <v>139</v>
      </c>
      <c r="D129" s="9">
        <f t="shared" si="3"/>
        <v>91.873498799039226</v>
      </c>
      <c r="E129" s="18">
        <f t="shared" si="3"/>
        <v>91.873498799039226</v>
      </c>
      <c r="F129" s="39">
        <f t="shared" si="4"/>
        <v>36.749399519615693</v>
      </c>
      <c r="G129" s="14">
        <f t="shared" si="4"/>
        <v>36.749399519615693</v>
      </c>
      <c r="H129" s="33"/>
      <c r="I129" s="33">
        <v>100</v>
      </c>
      <c r="J129" s="33">
        <v>100</v>
      </c>
      <c r="K129" s="33" t="s">
        <v>219</v>
      </c>
      <c r="L129" s="33" t="s">
        <v>192</v>
      </c>
      <c r="M129" s="33"/>
      <c r="N129" s="34"/>
    </row>
    <row r="130" spans="2:14">
      <c r="B130" s="1" t="s">
        <v>207</v>
      </c>
      <c r="C130" s="19" t="s">
        <v>139</v>
      </c>
      <c r="D130" s="9">
        <f>I130/$D108*$Q114</f>
        <v>79.985063480209107</v>
      </c>
      <c r="E130" s="18">
        <f>J130/$D108*$Q114</f>
        <v>182.82300224047796</v>
      </c>
      <c r="F130" s="39">
        <f t="shared" si="4"/>
        <v>31.994025392083643</v>
      </c>
      <c r="G130" s="14">
        <f t="shared" si="4"/>
        <v>73.129200896191193</v>
      </c>
      <c r="H130" s="33" t="s">
        <v>233</v>
      </c>
      <c r="I130" s="33">
        <v>70</v>
      </c>
      <c r="J130" s="33">
        <v>160</v>
      </c>
      <c r="K130" s="33" t="s">
        <v>219</v>
      </c>
      <c r="L130" s="33" t="s">
        <v>192</v>
      </c>
      <c r="M130" s="33">
        <v>2003</v>
      </c>
      <c r="N130" s="34" t="s">
        <v>231</v>
      </c>
    </row>
    <row r="131" spans="2:14">
      <c r="B131" s="1" t="s">
        <v>207</v>
      </c>
      <c r="C131" s="19" t="s">
        <v>139</v>
      </c>
      <c r="D131" s="9">
        <f>I131/$D108*$Q116</f>
        <v>58.204412883591175</v>
      </c>
      <c r="E131" s="18">
        <f>J131/$D108*$Q116</f>
        <v>128.04970834390056</v>
      </c>
      <c r="F131" s="39">
        <f t="shared" si="4"/>
        <v>23.281765153436471</v>
      </c>
      <c r="G131" s="14">
        <f t="shared" si="4"/>
        <v>51.219883337560226</v>
      </c>
      <c r="H131" s="33" t="s">
        <v>230</v>
      </c>
      <c r="I131" s="33">
        <v>50</v>
      </c>
      <c r="J131" s="33">
        <v>110</v>
      </c>
      <c r="K131" s="33" t="s">
        <v>219</v>
      </c>
      <c r="L131" s="33" t="s">
        <v>192</v>
      </c>
      <c r="M131" s="33">
        <v>2001</v>
      </c>
      <c r="N131" s="34" t="s">
        <v>229</v>
      </c>
    </row>
    <row r="132" spans="2:14">
      <c r="B132" s="1" t="s">
        <v>207</v>
      </c>
      <c r="C132" s="19" t="s">
        <v>139</v>
      </c>
      <c r="D132" s="9">
        <f>I132/$D108*$Q113</f>
        <v>82.665466006303461</v>
      </c>
      <c r="E132" s="18">
        <f>J132/$D108*$Q113</f>
        <v>123.99819900945519</v>
      </c>
      <c r="F132" s="39">
        <f t="shared" si="4"/>
        <v>33.066186402521389</v>
      </c>
      <c r="G132" s="14">
        <f t="shared" si="4"/>
        <v>49.59927960378208</v>
      </c>
      <c r="H132" s="33" t="s">
        <v>232</v>
      </c>
      <c r="I132" s="33">
        <v>80</v>
      </c>
      <c r="J132" s="33">
        <v>120</v>
      </c>
      <c r="K132" s="33" t="s">
        <v>219</v>
      </c>
      <c r="L132" s="33" t="s">
        <v>192</v>
      </c>
      <c r="M132" s="33">
        <v>2004</v>
      </c>
      <c r="N132" s="34"/>
    </row>
    <row r="133" spans="2:14">
      <c r="B133" s="56"/>
      <c r="C133" s="52"/>
      <c r="D133" s="53"/>
      <c r="E133" s="52"/>
      <c r="F133" s="53"/>
      <c r="G133" s="52"/>
      <c r="H133" s="54"/>
      <c r="I133" s="54"/>
      <c r="J133" s="54"/>
      <c r="K133" s="54"/>
      <c r="L133" s="54"/>
      <c r="M133" s="54"/>
      <c r="N133" s="57"/>
    </row>
    <row r="134" spans="2:14">
      <c r="B134" s="1" t="s">
        <v>207</v>
      </c>
      <c r="C134" s="19" t="s">
        <v>43</v>
      </c>
      <c r="D134" s="40">
        <f>F134*$C$111</f>
        <v>7.0585219991456647</v>
      </c>
      <c r="E134" s="50">
        <f>G134*$C$111</f>
        <v>14.117043998291329</v>
      </c>
      <c r="F134" s="38">
        <f>I134*Q112</f>
        <v>17.64630499786416</v>
      </c>
      <c r="G134" s="51">
        <f>J134*Q112</f>
        <v>35.29260999572832</v>
      </c>
      <c r="H134" s="33" t="s">
        <v>213</v>
      </c>
      <c r="I134" s="33">
        <v>15</v>
      </c>
      <c r="J134" s="33">
        <v>30</v>
      </c>
      <c r="K134" s="33" t="s">
        <v>211</v>
      </c>
      <c r="L134" s="33" t="s">
        <v>212</v>
      </c>
      <c r="M134" s="33">
        <v>2005</v>
      </c>
      <c r="N134" s="34"/>
    </row>
    <row r="135" spans="2:14" ht="15.75" thickBot="1">
      <c r="B135" s="5" t="s">
        <v>238</v>
      </c>
      <c r="C135" s="58" t="s">
        <v>43</v>
      </c>
      <c r="D135" s="59">
        <f>F135*$C$111</f>
        <v>2.0385971798752145</v>
      </c>
      <c r="E135" s="60">
        <f>G135*$C$111</f>
        <v>2.0385971798752145</v>
      </c>
      <c r="F135" s="61">
        <f>F116-C137</f>
        <v>5.0964929496880362</v>
      </c>
      <c r="G135" s="26">
        <f>G116-C137</f>
        <v>5.0964929496880362</v>
      </c>
      <c r="H135" s="37" t="s">
        <v>239</v>
      </c>
      <c r="I135" s="7"/>
      <c r="J135" s="7"/>
      <c r="K135" s="7"/>
      <c r="L135" s="7"/>
      <c r="M135" s="7"/>
      <c r="N135" s="27"/>
    </row>
    <row r="136" spans="2:14" ht="15.75" thickBot="1">
      <c r="F136" s="184" t="s">
        <v>301</v>
      </c>
      <c r="G136" s="185" t="s">
        <v>302</v>
      </c>
    </row>
    <row r="137" spans="2:14">
      <c r="B137" s="62" t="s">
        <v>234</v>
      </c>
      <c r="C137" s="63">
        <f>AVERAGE(F117:G120)</f>
        <v>6.3094910624931622</v>
      </c>
      <c r="D137" s="64" t="s">
        <v>211</v>
      </c>
      <c r="E137" s="63" t="s">
        <v>236</v>
      </c>
      <c r="F137" s="180">
        <f>AVERAGE(F117:F120)</f>
        <v>4.3511577291598282</v>
      </c>
      <c r="G137" s="181">
        <f>AVERAGE(G117:G120)</f>
        <v>8.2678243958264943</v>
      </c>
    </row>
    <row r="138" spans="2:14">
      <c r="B138" s="65" t="s">
        <v>235</v>
      </c>
      <c r="C138" s="66">
        <f>AVERAGE(F122:G132)</f>
        <v>48.799716156181965</v>
      </c>
      <c r="D138" s="67" t="s">
        <v>211</v>
      </c>
      <c r="E138" s="66" t="s">
        <v>236</v>
      </c>
      <c r="F138" s="180">
        <f>AVERAGE(F122,F124:F132)</f>
        <v>32.147056310742151</v>
      </c>
      <c r="G138" s="181">
        <f>AVERAGE(G122:G125,G127:G132)</f>
        <v>55.571392888340355</v>
      </c>
    </row>
    <row r="139" spans="2:14" ht="15.75" thickBot="1">
      <c r="B139" s="68" t="s">
        <v>237</v>
      </c>
      <c r="C139" s="69">
        <f>AVERAGE(F134:G135)</f>
        <v>15.782975223242136</v>
      </c>
      <c r="D139" s="70" t="s">
        <v>211</v>
      </c>
      <c r="E139" s="69" t="s">
        <v>236</v>
      </c>
      <c r="F139" s="182">
        <f>AVERAGE(F134:F135)</f>
        <v>11.371398973776099</v>
      </c>
      <c r="G139" s="183">
        <f>AVERAGE(G134:G135)</f>
        <v>20.194551472708177</v>
      </c>
    </row>
    <row r="141" spans="2:14" ht="15.75" thickBot="1"/>
    <row r="142" spans="2:14">
      <c r="B142" s="1085" t="s">
        <v>311</v>
      </c>
      <c r="C142" s="1086"/>
      <c r="D142" s="1086"/>
      <c r="E142" s="1086"/>
      <c r="F142" s="1087"/>
    </row>
    <row r="143" spans="2:14">
      <c r="B143" s="197"/>
      <c r="C143" s="198" t="s">
        <v>312</v>
      </c>
      <c r="D143" s="198" t="s">
        <v>313</v>
      </c>
      <c r="E143" s="198" t="s">
        <v>316</v>
      </c>
      <c r="F143" s="199" t="s">
        <v>317</v>
      </c>
    </row>
    <row r="144" spans="2:14">
      <c r="B144" s="1"/>
      <c r="C144" s="402" t="s">
        <v>314</v>
      </c>
      <c r="D144" s="402" t="s">
        <v>315</v>
      </c>
      <c r="E144" s="402" t="s">
        <v>87</v>
      </c>
      <c r="F144" s="433" t="s">
        <v>264</v>
      </c>
    </row>
    <row r="145" spans="2:6">
      <c r="B145" s="1" t="s">
        <v>218</v>
      </c>
      <c r="C145" s="402">
        <v>780</v>
      </c>
      <c r="D145" s="402">
        <v>2.15</v>
      </c>
      <c r="E145" s="402">
        <v>0</v>
      </c>
      <c r="F145" s="200">
        <f>Q117</f>
        <v>1.3976148185739659</v>
      </c>
    </row>
    <row r="146" spans="2:6" ht="15.75" thickBot="1">
      <c r="B146" s="5" t="s">
        <v>139</v>
      </c>
      <c r="C146" s="4">
        <v>5000</v>
      </c>
      <c r="D146" s="4">
        <v>6.28</v>
      </c>
      <c r="E146" s="201">
        <v>0.4</v>
      </c>
      <c r="F146" s="202">
        <f>F145</f>
        <v>1.3976148185739659</v>
      </c>
    </row>
  </sheetData>
  <mergeCells count="33">
    <mergeCell ref="C48:E48"/>
    <mergeCell ref="C4:E4"/>
    <mergeCell ref="C9:E9"/>
    <mergeCell ref="N9:O9"/>
    <mergeCell ref="Q9:S9"/>
    <mergeCell ref="N10:O10"/>
    <mergeCell ref="Q10:S10"/>
    <mergeCell ref="N12:O16"/>
    <mergeCell ref="C17:E17"/>
    <mergeCell ref="C24:E24"/>
    <mergeCell ref="C34:E34"/>
    <mergeCell ref="C45:E45"/>
    <mergeCell ref="P73:P75"/>
    <mergeCell ref="C74:E74"/>
    <mergeCell ref="C52:E52"/>
    <mergeCell ref="N52:R53"/>
    <mergeCell ref="N54:O54"/>
    <mergeCell ref="F56:F62"/>
    <mergeCell ref="N57:P57"/>
    <mergeCell ref="N62:R62"/>
    <mergeCell ref="O64:P64"/>
    <mergeCell ref="O68:R68"/>
    <mergeCell ref="C71:E71"/>
    <mergeCell ref="N71:P71"/>
    <mergeCell ref="N72:P72"/>
    <mergeCell ref="B142:F142"/>
    <mergeCell ref="C78:E78"/>
    <mergeCell ref="N82:P82"/>
    <mergeCell ref="F83:F89"/>
    <mergeCell ref="C97:F97"/>
    <mergeCell ref="D114:E114"/>
    <mergeCell ref="F114:G114"/>
    <mergeCell ref="I114:N114"/>
  </mergeCell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dimension ref="A2:AD146"/>
  <sheetViews>
    <sheetView workbookViewId="0"/>
  </sheetViews>
  <sheetFormatPr baseColWidth="10" defaultRowHeight="15"/>
  <cols>
    <col min="1" max="1" width="11.42578125" style="564"/>
    <col min="2" max="2" width="18.42578125" style="564" customWidth="1"/>
    <col min="3" max="3" width="44.5703125" style="564" customWidth="1"/>
    <col min="4" max="4" width="14.5703125" style="564" customWidth="1"/>
    <col min="5" max="5" width="11.42578125" style="564"/>
    <col min="6" max="6" width="23" style="564" customWidth="1"/>
    <col min="7" max="7" width="11.42578125" style="564"/>
    <col min="8" max="8" width="19.42578125" style="564" customWidth="1"/>
    <col min="9" max="9" width="8.28515625" style="564" customWidth="1"/>
    <col min="10" max="13" width="11.42578125" style="564"/>
    <col min="14" max="14" width="31.42578125" style="564" customWidth="1"/>
    <col min="15" max="15" width="23.42578125" style="564" customWidth="1"/>
    <col min="16" max="16" width="9.42578125" style="564" customWidth="1"/>
    <col min="17" max="17" width="16.5703125" style="564" customWidth="1"/>
    <col min="18" max="18" width="11.140625" style="564" customWidth="1"/>
    <col min="19" max="19" width="30.42578125" style="564" customWidth="1"/>
    <col min="20" max="16384" width="11.42578125" style="564"/>
  </cols>
  <sheetData>
    <row r="2" spans="1:22" ht="27.75">
      <c r="A2" s="75"/>
      <c r="B2" s="75"/>
      <c r="C2" s="206" t="s">
        <v>272</v>
      </c>
      <c r="D2" s="140"/>
      <c r="E2" s="140"/>
      <c r="F2" s="140"/>
      <c r="G2" s="140"/>
      <c r="H2" s="140"/>
      <c r="I2" s="140"/>
      <c r="J2" s="140"/>
      <c r="K2" s="140"/>
      <c r="L2" s="140"/>
      <c r="M2" s="140"/>
      <c r="N2" s="206" t="s">
        <v>327</v>
      </c>
      <c r="O2" s="140"/>
      <c r="P2" s="140"/>
      <c r="Q2" s="140"/>
      <c r="R2" s="75"/>
      <c r="S2" s="76"/>
      <c r="T2" s="75"/>
      <c r="U2" s="75"/>
      <c r="V2" s="75"/>
    </row>
    <row r="3" spans="1:22" ht="28.5" thickBot="1">
      <c r="A3" s="93"/>
      <c r="B3" s="93"/>
      <c r="C3" s="154"/>
      <c r="D3" s="154"/>
      <c r="E3" s="154"/>
      <c r="F3" s="154"/>
      <c r="G3" s="154"/>
      <c r="H3" s="154"/>
      <c r="I3" s="154"/>
      <c r="J3" s="154"/>
      <c r="K3" s="154"/>
      <c r="L3" s="154"/>
      <c r="M3" s="154"/>
      <c r="N3" s="154"/>
      <c r="O3" s="154"/>
      <c r="P3" s="154"/>
      <c r="Q3" s="154"/>
      <c r="R3" s="154"/>
      <c r="S3" s="93"/>
      <c r="T3" s="97"/>
      <c r="U3" s="93"/>
      <c r="V3" s="93"/>
    </row>
    <row r="4" spans="1:22" ht="27.75">
      <c r="A4" s="93"/>
      <c r="B4" s="93"/>
      <c r="C4" s="1050" t="s">
        <v>273</v>
      </c>
      <c r="D4" s="1051"/>
      <c r="E4" s="1052"/>
      <c r="F4" s="154"/>
      <c r="G4" s="154"/>
      <c r="H4" s="154"/>
      <c r="I4" s="154"/>
      <c r="J4" s="154"/>
      <c r="K4" s="154"/>
      <c r="L4" s="154"/>
      <c r="M4" s="154"/>
      <c r="N4" s="154"/>
      <c r="O4" s="154"/>
      <c r="P4" s="154"/>
      <c r="Q4" s="154"/>
      <c r="R4" s="154"/>
      <c r="S4" s="93"/>
      <c r="T4" s="97"/>
      <c r="U4" s="93"/>
      <c r="V4" s="93"/>
    </row>
    <row r="5" spans="1:22" ht="27.75">
      <c r="A5" s="93"/>
      <c r="B5" s="93"/>
      <c r="C5" s="158" t="s">
        <v>1167</v>
      </c>
      <c r="D5" s="157">
        <v>200</v>
      </c>
      <c r="E5" s="159" t="s">
        <v>409</v>
      </c>
      <c r="F5" s="154"/>
      <c r="G5" s="154"/>
      <c r="H5" s="154"/>
      <c r="I5" s="154"/>
      <c r="J5" s="154"/>
      <c r="K5" s="154"/>
      <c r="L5" s="154"/>
      <c r="M5" s="154"/>
      <c r="N5" s="154"/>
      <c r="O5" s="154"/>
      <c r="P5" s="154"/>
      <c r="Q5" s="154"/>
      <c r="R5" s="154"/>
      <c r="S5" s="93"/>
      <c r="T5" s="97"/>
      <c r="U5" s="93"/>
      <c r="V5" s="93"/>
    </row>
    <row r="6" spans="1:22" ht="27.75">
      <c r="A6" s="93"/>
      <c r="B6" s="93"/>
      <c r="C6" s="158" t="s">
        <v>1168</v>
      </c>
      <c r="D6" s="612">
        <f>D5/'Natural gas - emission calc.'!D85</f>
        <v>216.51203018486703</v>
      </c>
      <c r="E6" s="159" t="s">
        <v>1021</v>
      </c>
      <c r="F6" s="154"/>
      <c r="G6" s="154"/>
      <c r="H6" s="154"/>
      <c r="I6" s="154"/>
      <c r="J6" s="154"/>
      <c r="K6" s="154"/>
      <c r="L6" s="154"/>
      <c r="M6" s="154"/>
      <c r="N6" s="154"/>
      <c r="O6" s="154"/>
      <c r="P6" s="154"/>
      <c r="Q6" s="154"/>
      <c r="R6" s="154"/>
      <c r="S6" s="93"/>
      <c r="T6" s="97"/>
      <c r="U6" s="93"/>
      <c r="V6" s="93"/>
    </row>
    <row r="7" spans="1:22" ht="28.5" thickBot="1">
      <c r="A7" s="93"/>
      <c r="B7" s="93"/>
      <c r="C7" s="155" t="s">
        <v>274</v>
      </c>
      <c r="D7" s="217">
        <f>1-D5/'Natural gas - emission calc.'!D86</f>
        <v>0.66666666666666674</v>
      </c>
      <c r="E7" s="156"/>
      <c r="F7" s="154"/>
      <c r="G7" s="154"/>
      <c r="H7" s="154"/>
      <c r="I7" s="154"/>
      <c r="J7" s="154"/>
      <c r="K7" s="154"/>
      <c r="L7" s="154"/>
      <c r="M7" s="154"/>
      <c r="N7" s="154"/>
      <c r="O7" s="154"/>
      <c r="P7" s="154"/>
      <c r="Q7" s="154"/>
      <c r="R7" s="154"/>
      <c r="S7" s="93"/>
      <c r="T7" s="97"/>
      <c r="U7" s="93"/>
      <c r="V7" s="93"/>
    </row>
    <row r="8" spans="1:22" ht="15.75" thickBot="1">
      <c r="A8" s="93"/>
      <c r="B8" s="93"/>
      <c r="C8" s="93"/>
      <c r="D8" s="93"/>
      <c r="E8" s="93"/>
      <c r="F8" s="93"/>
      <c r="G8" s="93"/>
      <c r="H8" s="93"/>
      <c r="I8" s="93"/>
      <c r="J8" s="93"/>
      <c r="K8" s="93"/>
      <c r="L8" s="93"/>
      <c r="M8" s="93"/>
      <c r="N8" s="97"/>
      <c r="O8" s="97"/>
      <c r="P8" s="97"/>
      <c r="Q8" s="97"/>
      <c r="R8" s="93"/>
      <c r="S8" s="93"/>
      <c r="T8" s="97"/>
      <c r="U8" s="93"/>
      <c r="V8" s="93"/>
    </row>
    <row r="9" spans="1:22">
      <c r="A9" s="71"/>
      <c r="B9" s="71"/>
      <c r="C9" s="1088" t="s">
        <v>111</v>
      </c>
      <c r="D9" s="1089"/>
      <c r="E9" s="1090"/>
      <c r="F9" s="136"/>
      <c r="G9" s="71"/>
      <c r="H9" s="71"/>
      <c r="I9" s="71"/>
      <c r="J9" s="71"/>
      <c r="K9" s="71"/>
      <c r="L9" s="71"/>
      <c r="M9" s="71"/>
      <c r="N9" s="1088" t="s">
        <v>307</v>
      </c>
      <c r="O9" s="1090"/>
      <c r="P9" s="71"/>
      <c r="Q9" s="1088" t="s">
        <v>308</v>
      </c>
      <c r="R9" s="1089"/>
      <c r="S9" s="1090"/>
      <c r="T9" s="71"/>
      <c r="U9" s="71"/>
      <c r="V9" s="71"/>
    </row>
    <row r="10" spans="1:22">
      <c r="A10" s="71"/>
      <c r="B10" s="71"/>
      <c r="C10" s="99" t="s">
        <v>112</v>
      </c>
      <c r="D10" s="98"/>
      <c r="E10" s="109"/>
      <c r="F10" s="88"/>
      <c r="G10" s="71"/>
      <c r="H10" s="71"/>
      <c r="I10" s="71"/>
      <c r="J10" s="71"/>
      <c r="K10" s="71"/>
      <c r="L10" s="71"/>
      <c r="M10" s="71"/>
      <c r="N10" s="1117" t="s">
        <v>21</v>
      </c>
      <c r="O10" s="1119"/>
      <c r="P10" s="71"/>
      <c r="Q10" s="1121" t="s">
        <v>309</v>
      </c>
      <c r="R10" s="1122"/>
      <c r="S10" s="1123"/>
      <c r="T10" s="71"/>
      <c r="U10" s="71"/>
      <c r="V10" s="71"/>
    </row>
    <row r="11" spans="1:22" ht="18.75">
      <c r="A11" s="71"/>
      <c r="B11" s="71"/>
      <c r="C11" s="80" t="s">
        <v>275</v>
      </c>
      <c r="D11" s="147" t="s">
        <v>141</v>
      </c>
      <c r="E11" s="84" t="s">
        <v>63</v>
      </c>
      <c r="F11" s="88"/>
      <c r="G11" s="71"/>
      <c r="H11" s="71"/>
      <c r="I11" s="71"/>
      <c r="J11" s="71"/>
      <c r="K11" s="71"/>
      <c r="L11" s="71"/>
      <c r="M11" s="71"/>
      <c r="N11" s="691"/>
      <c r="O11" s="692"/>
      <c r="P11" s="71"/>
      <c r="Q11" s="192" t="s">
        <v>310</v>
      </c>
      <c r="R11" s="193">
        <f>D18</f>
        <v>600</v>
      </c>
      <c r="S11" s="629" t="s">
        <v>409</v>
      </c>
      <c r="T11" s="71"/>
      <c r="U11" s="71"/>
      <c r="V11" s="71"/>
    </row>
    <row r="12" spans="1:22" ht="18.75">
      <c r="A12" s="71"/>
      <c r="B12" s="71"/>
      <c r="C12" s="80" t="s">
        <v>276</v>
      </c>
      <c r="D12" s="163">
        <v>400</v>
      </c>
      <c r="E12" s="159" t="s">
        <v>409</v>
      </c>
      <c r="F12" s="88"/>
      <c r="G12" s="71"/>
      <c r="H12" s="71"/>
      <c r="I12" s="71"/>
      <c r="J12" s="71"/>
      <c r="K12" s="71"/>
      <c r="L12" s="71"/>
      <c r="M12" s="71"/>
      <c r="N12" s="1135" t="s">
        <v>935</v>
      </c>
      <c r="O12" s="1136"/>
      <c r="P12" s="71"/>
      <c r="Q12" s="194" t="s">
        <v>279</v>
      </c>
      <c r="R12" s="689" t="s">
        <v>280</v>
      </c>
      <c r="S12" s="161"/>
      <c r="T12" s="71"/>
      <c r="U12" s="71"/>
      <c r="V12" s="71"/>
    </row>
    <row r="13" spans="1:22" ht="18.75">
      <c r="A13" s="71"/>
      <c r="B13" s="71"/>
      <c r="C13" s="77" t="s">
        <v>61</v>
      </c>
      <c r="D13" s="98" t="str">
        <f>IF(D11="y",1-D12/'Natural gas - emission calc.'!D86,"n/a")</f>
        <v>n/a</v>
      </c>
      <c r="E13" s="84"/>
      <c r="F13" s="88"/>
      <c r="G13" s="71"/>
      <c r="H13" s="71"/>
      <c r="I13" s="71"/>
      <c r="J13" s="71"/>
      <c r="K13" s="71"/>
      <c r="L13" s="71"/>
      <c r="M13" s="71"/>
      <c r="N13" s="1053"/>
      <c r="O13" s="1120"/>
      <c r="P13" s="71"/>
      <c r="Q13" s="195">
        <v>0.6</v>
      </c>
      <c r="R13" s="152">
        <f>R$11*(1-Q13)</f>
        <v>240</v>
      </c>
      <c r="S13" s="159" t="s">
        <v>409</v>
      </c>
      <c r="T13" s="71"/>
      <c r="U13" s="71"/>
      <c r="V13" s="71"/>
    </row>
    <row r="14" spans="1:22" ht="18.75">
      <c r="A14" s="71"/>
      <c r="B14" s="71"/>
      <c r="C14" s="77" t="s">
        <v>1169</v>
      </c>
      <c r="D14" s="98" t="str">
        <f>IF(D11="y",('Natural gas - emission calc.'!D86-D12)/('Natural gas - emission calc.'!D86-D5),"n/a")</f>
        <v>n/a</v>
      </c>
      <c r="E14" s="84"/>
      <c r="F14" s="88"/>
      <c r="G14" s="71"/>
      <c r="H14" s="71"/>
      <c r="I14" s="71"/>
      <c r="J14" s="71"/>
      <c r="K14" s="71"/>
      <c r="L14" s="71"/>
      <c r="M14" s="71"/>
      <c r="N14" s="1053"/>
      <c r="O14" s="1120"/>
      <c r="P14" s="71"/>
      <c r="Q14" s="195">
        <v>0.7</v>
      </c>
      <c r="R14" s="152">
        <f>R$11*(1-Q14)</f>
        <v>180.00000000000003</v>
      </c>
      <c r="S14" s="159" t="s">
        <v>409</v>
      </c>
      <c r="T14" s="71"/>
      <c r="U14" s="71"/>
      <c r="V14" s="71"/>
    </row>
    <row r="15" spans="1:22" ht="18.75">
      <c r="A15" s="71"/>
      <c r="B15" s="71"/>
      <c r="C15" s="77" t="s">
        <v>62</v>
      </c>
      <c r="D15" s="218">
        <f>IF(D11="y",1-D5/D12,D7)</f>
        <v>0.66666666666666674</v>
      </c>
      <c r="E15" s="84"/>
      <c r="F15" s="88"/>
      <c r="G15" s="71"/>
      <c r="H15" s="71"/>
      <c r="I15" s="71"/>
      <c r="J15" s="71"/>
      <c r="K15" s="71"/>
      <c r="L15" s="71"/>
      <c r="M15" s="71"/>
      <c r="N15" s="1053"/>
      <c r="O15" s="1120"/>
      <c r="P15" s="71"/>
      <c r="Q15" s="195">
        <v>0.8</v>
      </c>
      <c r="R15" s="152">
        <f>R$11*(1-Q15)</f>
        <v>119.99999999999997</v>
      </c>
      <c r="S15" s="159" t="s">
        <v>409</v>
      </c>
      <c r="T15" s="71"/>
      <c r="U15" s="71"/>
      <c r="V15" s="71"/>
    </row>
    <row r="16" spans="1:22" ht="19.5" thickBot="1">
      <c r="A16" s="71"/>
      <c r="B16" s="71"/>
      <c r="C16" s="80"/>
      <c r="D16" s="88"/>
      <c r="E16" s="81"/>
      <c r="F16" s="88"/>
      <c r="G16" s="71"/>
      <c r="H16" s="71"/>
      <c r="I16" s="71"/>
      <c r="J16" s="71"/>
      <c r="K16" s="71"/>
      <c r="L16" s="71"/>
      <c r="M16" s="71"/>
      <c r="N16" s="1137"/>
      <c r="O16" s="1138"/>
      <c r="P16" s="71"/>
      <c r="Q16" s="196">
        <v>0.9</v>
      </c>
      <c r="R16" s="118">
        <f>R$11*(1-Q16)</f>
        <v>59.999999999999986</v>
      </c>
      <c r="S16" s="156" t="s">
        <v>409</v>
      </c>
      <c r="T16" s="71"/>
      <c r="U16" s="71"/>
      <c r="V16" s="71"/>
    </row>
    <row r="17" spans="1:22">
      <c r="A17" s="71"/>
      <c r="B17" s="71"/>
      <c r="C17" s="1124" t="s">
        <v>116</v>
      </c>
      <c r="D17" s="1125"/>
      <c r="E17" s="1126"/>
      <c r="F17" s="88"/>
      <c r="G17" s="71"/>
      <c r="H17" s="71"/>
      <c r="I17" s="71"/>
      <c r="J17" s="71"/>
      <c r="K17" s="71"/>
      <c r="L17" s="71"/>
      <c r="M17" s="71"/>
      <c r="N17" s="104"/>
      <c r="O17" s="105"/>
      <c r="P17" s="71"/>
      <c r="Q17" s="71"/>
      <c r="R17" s="71"/>
      <c r="S17" s="71"/>
      <c r="T17" s="72"/>
      <c r="U17" s="71"/>
      <c r="V17" s="71"/>
    </row>
    <row r="18" spans="1:22" ht="18.75">
      <c r="A18" s="71"/>
      <c r="B18" s="71"/>
      <c r="C18" s="80" t="s">
        <v>1022</v>
      </c>
      <c r="D18" s="164">
        <f>IF(D11="Y",D12,'Natural gas - emission calc.'!D86)</f>
        <v>600</v>
      </c>
      <c r="E18" s="159" t="s">
        <v>409</v>
      </c>
      <c r="G18" s="71"/>
      <c r="H18" s="71"/>
      <c r="I18" s="71"/>
      <c r="J18" s="71"/>
      <c r="K18" s="71"/>
      <c r="L18" s="71"/>
      <c r="M18" s="71"/>
      <c r="N18" s="106"/>
      <c r="O18" s="105"/>
      <c r="P18" s="71"/>
      <c r="Q18" s="71"/>
      <c r="R18" s="71"/>
      <c r="S18" s="71"/>
      <c r="T18" s="72"/>
      <c r="U18" s="71"/>
      <c r="V18" s="71"/>
    </row>
    <row r="19" spans="1:22">
      <c r="A19" s="71"/>
      <c r="B19" s="71"/>
      <c r="C19" s="77"/>
      <c r="D19" s="694"/>
      <c r="E19" s="697"/>
      <c r="F19" s="88"/>
      <c r="G19" s="71"/>
      <c r="H19" s="71"/>
      <c r="I19" s="71"/>
      <c r="J19" s="71"/>
      <c r="K19" s="71"/>
      <c r="L19" s="71"/>
      <c r="M19" s="71"/>
      <c r="N19" s="106"/>
      <c r="O19" s="105"/>
      <c r="P19" s="71"/>
      <c r="Q19" s="71"/>
      <c r="R19" s="71"/>
      <c r="S19" s="71"/>
      <c r="T19" s="72"/>
      <c r="U19" s="71"/>
      <c r="V19" s="71"/>
    </row>
    <row r="20" spans="1:22" ht="18.75">
      <c r="A20" s="71"/>
      <c r="B20" s="71"/>
      <c r="C20" s="80" t="s">
        <v>117</v>
      </c>
      <c r="D20" s="163">
        <v>150</v>
      </c>
      <c r="E20" s="159" t="s">
        <v>409</v>
      </c>
      <c r="F20" s="88"/>
      <c r="G20" s="71"/>
      <c r="H20" s="71"/>
      <c r="I20" s="71"/>
      <c r="J20" s="71"/>
      <c r="K20" s="71"/>
      <c r="L20" s="71"/>
      <c r="M20" s="71"/>
      <c r="N20" s="71"/>
      <c r="O20" s="105"/>
      <c r="P20" s="71"/>
      <c r="Q20" s="71"/>
      <c r="R20" s="71"/>
      <c r="S20" s="71"/>
      <c r="T20" s="72"/>
      <c r="U20" s="71"/>
      <c r="V20" s="71"/>
    </row>
    <row r="21" spans="1:22">
      <c r="A21" s="71"/>
      <c r="B21" s="71"/>
      <c r="C21" s="80" t="s">
        <v>64</v>
      </c>
      <c r="D21" s="613">
        <f>1-D20/'Natural gas - emission calc.'!D86</f>
        <v>0.75</v>
      </c>
      <c r="E21" s="109"/>
      <c r="F21" s="88"/>
      <c r="G21" s="71"/>
      <c r="H21" s="71"/>
      <c r="I21" s="71"/>
      <c r="J21" s="71"/>
      <c r="K21" s="71"/>
      <c r="L21" s="71"/>
      <c r="M21" s="71"/>
      <c r="N21" s="71"/>
      <c r="O21" s="72"/>
      <c r="P21" s="72"/>
      <c r="Q21" s="88"/>
      <c r="R21" s="71"/>
      <c r="S21" s="72"/>
      <c r="T21" s="71"/>
      <c r="U21" s="71"/>
      <c r="V21" s="71"/>
    </row>
    <row r="22" spans="1:22" ht="15.75" thickBot="1">
      <c r="A22" s="71"/>
      <c r="B22" s="71"/>
      <c r="C22" s="86" t="s">
        <v>281</v>
      </c>
      <c r="D22" s="219">
        <f>1-D20/D5</f>
        <v>0.25</v>
      </c>
      <c r="E22" s="85"/>
      <c r="F22" s="402"/>
      <c r="H22" s="71"/>
      <c r="I22" s="71"/>
      <c r="J22" s="71"/>
      <c r="K22" s="71"/>
      <c r="L22" s="71"/>
      <c r="M22" s="71"/>
      <c r="N22" s="71"/>
      <c r="O22" s="72"/>
      <c r="P22" s="72"/>
      <c r="Q22" s="88"/>
      <c r="R22" s="71"/>
      <c r="S22" s="72"/>
      <c r="T22" s="71"/>
      <c r="U22" s="71"/>
      <c r="V22" s="71"/>
    </row>
    <row r="23" spans="1:22" ht="15.75" thickBot="1">
      <c r="A23" s="71"/>
      <c r="B23" s="71"/>
      <c r="C23" s="71"/>
      <c r="D23" s="71"/>
      <c r="E23" s="71"/>
      <c r="F23" s="88"/>
      <c r="G23" s="71"/>
      <c r="H23" s="71"/>
      <c r="I23" s="71"/>
      <c r="J23" s="71"/>
      <c r="K23" s="71"/>
      <c r="L23" s="71"/>
      <c r="M23" s="71"/>
      <c r="N23" s="71"/>
      <c r="O23" s="72"/>
      <c r="P23" s="72"/>
      <c r="Q23" s="88"/>
      <c r="R23" s="71"/>
      <c r="S23" s="72"/>
      <c r="T23" s="71"/>
      <c r="U23" s="71"/>
      <c r="V23" s="71"/>
    </row>
    <row r="24" spans="1:22">
      <c r="A24" s="71"/>
      <c r="B24" s="71"/>
      <c r="C24" s="1127" t="s">
        <v>1026</v>
      </c>
      <c r="D24" s="1128"/>
      <c r="E24" s="1129"/>
      <c r="F24" s="88"/>
      <c r="G24" s="71"/>
      <c r="H24" s="71"/>
      <c r="I24" s="71"/>
      <c r="J24" s="71"/>
      <c r="K24" s="71"/>
      <c r="L24" s="71"/>
      <c r="M24" s="71"/>
      <c r="N24" s="71"/>
      <c r="O24" s="72"/>
      <c r="P24" s="72"/>
      <c r="Q24" s="139"/>
      <c r="R24" s="71"/>
      <c r="S24" s="72"/>
      <c r="T24" s="71"/>
      <c r="U24" s="71"/>
      <c r="V24" s="71"/>
    </row>
    <row r="25" spans="1:22" ht="18.75">
      <c r="A25" s="71"/>
      <c r="B25" s="71"/>
      <c r="C25" s="77" t="s">
        <v>1170</v>
      </c>
      <c r="D25" s="160">
        <f>IF(D26="y",D20,(IF(D27="y",D20,D18)))</f>
        <v>150</v>
      </c>
      <c r="E25" s="159" t="s">
        <v>409</v>
      </c>
      <c r="F25" s="88"/>
      <c r="G25" s="71"/>
      <c r="H25" s="71"/>
      <c r="I25" s="71"/>
      <c r="J25" s="71"/>
      <c r="K25" s="71"/>
      <c r="L25" s="71"/>
      <c r="M25" s="71"/>
      <c r="N25" s="71"/>
      <c r="O25" s="72"/>
      <c r="P25" s="72"/>
      <c r="Q25" s="139"/>
      <c r="R25" s="71"/>
      <c r="S25" s="72"/>
      <c r="T25" s="71"/>
      <c r="U25" s="71"/>
      <c r="V25" s="71"/>
    </row>
    <row r="26" spans="1:22">
      <c r="A26" s="71"/>
      <c r="B26" s="71"/>
      <c r="C26" s="80" t="s">
        <v>1024</v>
      </c>
      <c r="D26" s="147" t="s">
        <v>278</v>
      </c>
      <c r="E26" s="84" t="s">
        <v>63</v>
      </c>
      <c r="F26" s="71"/>
      <c r="G26" s="71"/>
      <c r="H26" s="71"/>
      <c r="I26" s="71"/>
      <c r="J26" s="71"/>
      <c r="K26" s="71"/>
      <c r="L26" s="71"/>
      <c r="M26" s="71"/>
      <c r="N26" s="71"/>
      <c r="O26" s="72"/>
      <c r="P26" s="72"/>
      <c r="Q26" s="88"/>
      <c r="R26" s="71"/>
      <c r="S26" s="72"/>
      <c r="T26" s="71"/>
      <c r="U26" s="71"/>
      <c r="V26" s="71"/>
    </row>
    <row r="27" spans="1:22">
      <c r="A27" s="71"/>
      <c r="B27" s="71"/>
      <c r="C27" s="80" t="s">
        <v>277</v>
      </c>
      <c r="D27" s="147" t="s">
        <v>95</v>
      </c>
      <c r="E27" s="84" t="s">
        <v>63</v>
      </c>
      <c r="F27" s="71"/>
      <c r="G27" s="71"/>
      <c r="H27" s="71"/>
      <c r="I27" s="71"/>
      <c r="J27" s="71"/>
      <c r="K27" s="71"/>
      <c r="L27" s="71"/>
      <c r="M27" s="71"/>
      <c r="N27" s="72"/>
      <c r="O27" s="72"/>
      <c r="P27" s="72"/>
      <c r="Q27" s="88"/>
      <c r="R27" s="71"/>
      <c r="S27" s="72"/>
      <c r="T27" s="71"/>
      <c r="U27" s="71"/>
      <c r="V27" s="71"/>
    </row>
    <row r="28" spans="1:22">
      <c r="A28" s="71"/>
      <c r="B28" s="71"/>
      <c r="C28" s="80" t="s">
        <v>1171</v>
      </c>
      <c r="D28" s="506" t="str">
        <f>IF(AND(D26="y",D27="y"),"N","Y")</f>
        <v>Y</v>
      </c>
      <c r="E28" s="81" t="s">
        <v>1025</v>
      </c>
      <c r="F28" s="71"/>
      <c r="G28" s="71"/>
      <c r="H28" s="71"/>
      <c r="I28" s="71"/>
      <c r="J28" s="71"/>
      <c r="K28" s="71"/>
      <c r="L28" s="71"/>
      <c r="M28" s="71"/>
      <c r="N28" s="72"/>
      <c r="O28" s="72"/>
      <c r="P28" s="72"/>
      <c r="Q28" s="88"/>
      <c r="R28" s="71"/>
      <c r="S28" s="72"/>
      <c r="T28" s="71"/>
      <c r="U28" s="71"/>
      <c r="V28" s="71"/>
    </row>
    <row r="29" spans="1:22" ht="15.75" thickBot="1">
      <c r="A29" s="71"/>
      <c r="B29" s="71"/>
      <c r="C29" s="86" t="s">
        <v>1172</v>
      </c>
      <c r="D29" s="614" t="str">
        <f>IF(D20&lt;=D5,"OK","ERROR")</f>
        <v>OK</v>
      </c>
      <c r="E29" s="87" t="s">
        <v>1025</v>
      </c>
      <c r="F29" s="71"/>
      <c r="G29" s="71"/>
      <c r="H29" s="71"/>
      <c r="I29" s="71"/>
      <c r="J29" s="71"/>
      <c r="K29" s="71"/>
      <c r="L29" s="71"/>
      <c r="M29" s="71"/>
      <c r="N29" s="72"/>
      <c r="O29" s="72"/>
      <c r="P29" s="72"/>
      <c r="Q29" s="88"/>
      <c r="R29" s="71"/>
      <c r="S29" s="71"/>
      <c r="T29" s="72"/>
      <c r="U29" s="71"/>
      <c r="V29" s="71"/>
    </row>
    <row r="30" spans="1:22">
      <c r="A30" s="71"/>
      <c r="B30" s="71"/>
      <c r="F30" s="138"/>
      <c r="G30" s="71"/>
      <c r="H30" s="71"/>
      <c r="I30" s="71"/>
      <c r="J30" s="71"/>
      <c r="K30" s="71"/>
      <c r="L30" s="71"/>
      <c r="M30" s="71"/>
      <c r="N30" s="72"/>
      <c r="O30" s="72"/>
      <c r="P30" s="72"/>
      <c r="Q30" s="88"/>
      <c r="R30" s="71"/>
      <c r="S30" s="71"/>
      <c r="T30" s="72"/>
      <c r="U30" s="71"/>
      <c r="V30" s="71"/>
    </row>
    <row r="31" spans="1:22">
      <c r="A31" s="71"/>
      <c r="B31" s="71"/>
      <c r="F31" s="71"/>
      <c r="G31" s="71"/>
      <c r="H31" s="71"/>
      <c r="I31" s="71"/>
      <c r="J31" s="71"/>
      <c r="K31" s="71"/>
      <c r="L31" s="71"/>
      <c r="M31" s="71"/>
      <c r="N31" s="72"/>
      <c r="O31" s="72"/>
      <c r="P31" s="72"/>
      <c r="Q31" s="88"/>
      <c r="R31" s="71"/>
      <c r="S31" s="71"/>
      <c r="T31" s="72"/>
      <c r="U31" s="71"/>
      <c r="V31" s="71"/>
    </row>
    <row r="32" spans="1:22" ht="27.75">
      <c r="A32" s="75"/>
      <c r="B32" s="140"/>
      <c r="C32" s="206" t="s">
        <v>184</v>
      </c>
      <c r="D32" s="140"/>
      <c r="E32" s="140"/>
      <c r="F32" s="140"/>
      <c r="G32" s="140"/>
      <c r="H32" s="140"/>
      <c r="I32" s="140"/>
      <c r="J32" s="140"/>
      <c r="K32" s="140"/>
      <c r="L32" s="140"/>
      <c r="M32" s="140"/>
      <c r="N32" s="206" t="s">
        <v>328</v>
      </c>
      <c r="O32" s="140"/>
      <c r="P32" s="140"/>
      <c r="Q32" s="140"/>
      <c r="R32" s="75"/>
      <c r="S32" s="75"/>
      <c r="T32" s="75"/>
      <c r="U32" s="75"/>
      <c r="V32" s="75"/>
    </row>
    <row r="33" spans="1:22" s="215" customFormat="1" ht="14.25" customHeight="1" thickBot="1">
      <c r="A33" s="71"/>
      <c r="B33" s="71"/>
      <c r="C33" s="71"/>
      <c r="D33" s="71"/>
      <c r="E33" s="71"/>
      <c r="F33" s="71"/>
      <c r="G33" s="71"/>
      <c r="H33" s="71"/>
      <c r="I33" s="71"/>
      <c r="J33" s="71"/>
      <c r="K33" s="71"/>
      <c r="L33" s="72"/>
      <c r="M33" s="72"/>
      <c r="N33" s="71"/>
      <c r="O33" s="72"/>
      <c r="P33" s="71"/>
      <c r="Q33" s="93"/>
      <c r="R33" s="93"/>
    </row>
    <row r="34" spans="1:22" s="215" customFormat="1" ht="14.25" customHeight="1" thickBot="1">
      <c r="A34" s="71"/>
      <c r="B34" s="71"/>
      <c r="C34" s="1114" t="s">
        <v>112</v>
      </c>
      <c r="D34" s="1115"/>
      <c r="E34" s="1116"/>
      <c r="F34" s="71"/>
      <c r="G34" s="89"/>
      <c r="H34" s="71"/>
      <c r="I34" s="71"/>
      <c r="J34" s="71"/>
      <c r="K34" s="71"/>
      <c r="L34" s="71"/>
      <c r="M34" s="136"/>
      <c r="N34" s="136"/>
      <c r="O34" s="71"/>
      <c r="P34" s="71"/>
      <c r="Q34" s="93"/>
      <c r="R34" s="93"/>
    </row>
    <row r="35" spans="1:22" s="215" customFormat="1" ht="14.25" customHeight="1">
      <c r="A35" s="71"/>
      <c r="B35" s="71"/>
      <c r="C35" s="80" t="s">
        <v>122</v>
      </c>
      <c r="D35" s="114">
        <f>IF(D11="y",('Natural gas - emission calc.'!D86-D12)/'Natural gas - emission calc.'!D85*'Natural gas - emission calc.'!D83/10^9,0)</f>
        <v>0</v>
      </c>
      <c r="E35" s="142" t="s">
        <v>115</v>
      </c>
      <c r="F35" s="71"/>
      <c r="G35" s="71"/>
      <c r="H35" s="71"/>
      <c r="I35" s="71"/>
      <c r="J35" s="71"/>
      <c r="K35" s="71"/>
      <c r="L35" s="71"/>
      <c r="M35" s="687"/>
      <c r="N35" s="687"/>
      <c r="O35" s="71"/>
      <c r="P35" s="71"/>
      <c r="Q35" s="93"/>
      <c r="R35" s="93"/>
    </row>
    <row r="36" spans="1:22" s="215" customFormat="1" ht="14.25" customHeight="1">
      <c r="A36" s="71"/>
      <c r="B36" s="71"/>
      <c r="C36" s="80" t="s">
        <v>282</v>
      </c>
      <c r="D36" s="163">
        <v>20</v>
      </c>
      <c r="E36" s="142" t="s">
        <v>303</v>
      </c>
      <c r="F36" s="71" t="s">
        <v>304</v>
      </c>
      <c r="G36" s="71"/>
      <c r="H36" s="71"/>
      <c r="I36" s="71"/>
      <c r="J36" s="71"/>
      <c r="K36" s="71"/>
      <c r="L36" s="71"/>
      <c r="M36" s="72"/>
      <c r="N36" s="72"/>
      <c r="O36" s="71"/>
      <c r="P36" s="71"/>
      <c r="Q36" s="93"/>
      <c r="R36" s="93"/>
    </row>
    <row r="37" spans="1:22" s="215" customFormat="1" ht="14.25" customHeight="1">
      <c r="A37" s="71"/>
      <c r="B37" s="71"/>
      <c r="C37" s="80" t="s">
        <v>125</v>
      </c>
      <c r="D37" s="114" t="str">
        <f>IF(D11="y",D36*'Natural gas - emission calc.'!D20*1000,"n/a")</f>
        <v>n/a</v>
      </c>
      <c r="E37" s="142" t="s">
        <v>123</v>
      </c>
      <c r="F37" s="71"/>
      <c r="G37" s="71"/>
      <c r="H37" s="71"/>
      <c r="I37" s="71"/>
      <c r="J37" s="71"/>
      <c r="K37" s="71"/>
      <c r="L37" s="71"/>
      <c r="M37" s="72"/>
      <c r="N37" s="72"/>
      <c r="O37" s="71"/>
      <c r="P37" s="71"/>
      <c r="Q37" s="93"/>
      <c r="R37" s="93"/>
    </row>
    <row r="38" spans="1:22" s="215" customFormat="1" ht="14.25" customHeight="1">
      <c r="A38" s="71"/>
      <c r="B38" s="71"/>
      <c r="C38" s="80" t="s">
        <v>34</v>
      </c>
      <c r="D38" s="114" t="str">
        <f>IF(D11="y",D37*'Natural gas - emission calc.'!J5,"n/a")</f>
        <v>n/a</v>
      </c>
      <c r="E38" s="142" t="s">
        <v>126</v>
      </c>
      <c r="F38" s="71"/>
      <c r="G38" s="71"/>
      <c r="H38" s="71"/>
      <c r="I38" s="71"/>
      <c r="J38" s="71"/>
      <c r="K38" s="71"/>
      <c r="L38" s="71"/>
      <c r="M38" s="72"/>
      <c r="N38" s="72"/>
      <c r="O38" s="71"/>
      <c r="P38" s="71"/>
      <c r="Q38" s="93"/>
      <c r="R38" s="93"/>
    </row>
    <row r="39" spans="1:22" s="215" customFormat="1" ht="14.25" customHeight="1">
      <c r="A39" s="71"/>
      <c r="B39" s="71"/>
      <c r="C39" s="80" t="s">
        <v>30</v>
      </c>
      <c r="D39" s="114" t="str">
        <f>IF(D11="y",D37*'Natural gas - emission calc.'!G4,"n/a")</f>
        <v>n/a</v>
      </c>
      <c r="E39" s="142" t="s">
        <v>126</v>
      </c>
      <c r="F39" s="71"/>
      <c r="G39" s="71"/>
      <c r="H39" s="71"/>
      <c r="I39" s="71"/>
      <c r="J39" s="71"/>
      <c r="K39" s="71"/>
      <c r="L39" s="71"/>
      <c r="M39" s="72"/>
      <c r="N39" s="72"/>
      <c r="O39" s="71"/>
      <c r="P39" s="71"/>
      <c r="Q39" s="93"/>
      <c r="R39" s="93"/>
    </row>
    <row r="40" spans="1:22" s="215" customFormat="1" ht="14.25" customHeight="1">
      <c r="A40" s="71"/>
      <c r="B40" s="71"/>
      <c r="C40" s="80"/>
      <c r="D40" s="114"/>
      <c r="E40" s="142"/>
      <c r="F40" s="71"/>
      <c r="G40" s="71"/>
      <c r="H40" s="71"/>
      <c r="I40" s="71"/>
      <c r="J40" s="71"/>
      <c r="K40" s="71"/>
      <c r="L40" s="71"/>
      <c r="M40" s="72"/>
      <c r="N40" s="72"/>
      <c r="O40" s="71"/>
      <c r="P40" s="71"/>
      <c r="Q40" s="93"/>
      <c r="R40" s="93"/>
    </row>
    <row r="41" spans="1:22" s="215" customFormat="1" ht="14.25" customHeight="1">
      <c r="A41" s="71"/>
      <c r="B41" s="71"/>
      <c r="C41" s="141" t="s">
        <v>36</v>
      </c>
      <c r="D41" s="695" t="str">
        <f>IF(D11="y",D39+D38,"n/a")</f>
        <v>n/a</v>
      </c>
      <c r="E41" s="143" t="s">
        <v>126</v>
      </c>
      <c r="F41" s="71"/>
      <c r="G41" s="71"/>
      <c r="H41" s="71"/>
      <c r="I41" s="71"/>
      <c r="J41" s="71"/>
      <c r="K41" s="71"/>
      <c r="L41" s="71"/>
      <c r="M41" s="72"/>
      <c r="N41" s="72"/>
      <c r="O41" s="71"/>
      <c r="P41" s="71"/>
      <c r="Q41" s="93"/>
      <c r="R41" s="93"/>
    </row>
    <row r="42" spans="1:22" s="215" customFormat="1" ht="14.25" customHeight="1" thickBot="1">
      <c r="A42" s="71"/>
      <c r="B42" s="71"/>
      <c r="C42" s="165" t="s">
        <v>37</v>
      </c>
      <c r="D42" s="395" t="str">
        <f>IF(AND(D11="y",D35&gt;0),D41/D35,"n/a")</f>
        <v>n/a</v>
      </c>
      <c r="E42" s="166" t="s">
        <v>38</v>
      </c>
      <c r="F42" s="71"/>
      <c r="G42" s="71"/>
      <c r="H42" s="71"/>
      <c r="I42" s="71"/>
      <c r="J42" s="71"/>
      <c r="K42" s="71"/>
      <c r="L42" s="71"/>
      <c r="M42" s="72"/>
      <c r="N42" s="72"/>
      <c r="O42" s="71"/>
      <c r="P42" s="71"/>
      <c r="Q42" s="93"/>
      <c r="R42" s="93"/>
    </row>
    <row r="43" spans="1:22" s="215" customFormat="1" ht="14.25" customHeight="1">
      <c r="A43" s="71"/>
      <c r="B43" s="71"/>
      <c r="C43" s="71"/>
      <c r="D43" s="71"/>
      <c r="E43" s="71"/>
      <c r="F43" s="71"/>
      <c r="G43" s="71"/>
      <c r="H43" s="71"/>
      <c r="I43" s="71"/>
      <c r="J43" s="71"/>
      <c r="K43" s="71"/>
      <c r="L43" s="71"/>
      <c r="M43" s="72"/>
      <c r="N43" s="72"/>
      <c r="O43" s="71"/>
      <c r="P43" s="71"/>
      <c r="Q43" s="93"/>
      <c r="R43" s="93"/>
    </row>
    <row r="44" spans="1:22" s="215" customFormat="1" ht="14.25" customHeight="1" thickBot="1">
      <c r="A44" s="71"/>
      <c r="B44" s="71"/>
      <c r="C44" s="71"/>
      <c r="D44" s="71"/>
      <c r="E44" s="71"/>
      <c r="F44" s="71"/>
      <c r="G44" s="71"/>
      <c r="H44" s="71"/>
      <c r="I44" s="71"/>
      <c r="J44" s="71"/>
      <c r="K44" s="71"/>
      <c r="L44" s="71"/>
      <c r="M44" s="72"/>
      <c r="N44" s="72"/>
      <c r="O44" s="71"/>
      <c r="P44" s="71"/>
      <c r="Q44" s="93"/>
      <c r="R44" s="93"/>
    </row>
    <row r="45" spans="1:22" s="215" customFormat="1" ht="14.25" customHeight="1" thickBot="1">
      <c r="A45" s="71"/>
      <c r="B45" s="71"/>
      <c r="C45" s="1114" t="s">
        <v>283</v>
      </c>
      <c r="D45" s="1115"/>
      <c r="E45" s="1116"/>
      <c r="F45" s="71"/>
      <c r="G45" s="71"/>
      <c r="H45" s="71"/>
      <c r="I45" s="71"/>
      <c r="J45" s="71"/>
      <c r="K45" s="71"/>
      <c r="L45" s="71"/>
      <c r="M45" s="72"/>
      <c r="N45" s="71"/>
      <c r="O45" s="71"/>
      <c r="P45" s="71"/>
      <c r="Q45" s="72"/>
      <c r="R45" s="72"/>
      <c r="S45" s="71"/>
      <c r="T45" s="71"/>
      <c r="U45" s="93"/>
      <c r="V45" s="93"/>
    </row>
    <row r="46" spans="1:22" s="215" customFormat="1" ht="14.25" customHeight="1">
      <c r="A46" s="71"/>
      <c r="B46" s="71"/>
      <c r="C46" s="113" t="s">
        <v>43</v>
      </c>
      <c r="D46" s="152" t="str">
        <f>D27</f>
        <v>N</v>
      </c>
      <c r="E46" s="84"/>
      <c r="F46" s="71"/>
      <c r="G46" s="71"/>
      <c r="H46" s="71"/>
      <c r="I46" s="71"/>
      <c r="J46" s="71"/>
      <c r="K46" s="71"/>
      <c r="L46" s="71"/>
      <c r="M46" s="72"/>
      <c r="Q46" s="72"/>
      <c r="R46" s="72"/>
      <c r="S46" s="71"/>
      <c r="T46" s="71"/>
      <c r="U46" s="93"/>
      <c r="V46" s="93"/>
    </row>
    <row r="47" spans="1:22" s="215" customFormat="1" ht="14.25" customHeight="1">
      <c r="A47" s="71"/>
      <c r="B47" s="71"/>
      <c r="C47" s="148" t="s">
        <v>122</v>
      </c>
      <c r="D47" s="167" t="str">
        <f>IF(D46="Y",D102,"n/a")</f>
        <v>n/a</v>
      </c>
      <c r="E47" s="115" t="s">
        <v>115</v>
      </c>
      <c r="F47" s="71"/>
      <c r="G47" s="71"/>
      <c r="H47" s="71"/>
      <c r="I47" s="71"/>
      <c r="J47" s="71"/>
      <c r="K47" s="71"/>
      <c r="L47" s="71"/>
      <c r="M47" s="72"/>
      <c r="Q47" s="72"/>
      <c r="R47" s="72"/>
      <c r="S47" s="71"/>
      <c r="T47" s="71"/>
      <c r="U47" s="93"/>
      <c r="V47" s="93"/>
    </row>
    <row r="48" spans="1:22" s="215" customFormat="1" ht="14.25" customHeight="1">
      <c r="A48" s="71"/>
      <c r="B48" s="71"/>
      <c r="C48" s="1100" t="s">
        <v>58</v>
      </c>
      <c r="D48" s="1101"/>
      <c r="E48" s="1102"/>
      <c r="F48" s="71"/>
      <c r="G48" s="71"/>
      <c r="H48" s="71"/>
      <c r="I48" s="71"/>
      <c r="J48" s="71"/>
      <c r="K48" s="71"/>
      <c r="L48" s="71"/>
      <c r="M48" s="72"/>
      <c r="Q48" s="72"/>
      <c r="R48" s="72"/>
      <c r="S48" s="71"/>
      <c r="T48" s="71"/>
      <c r="U48" s="93"/>
      <c r="V48" s="93"/>
    </row>
    <row r="49" spans="1:22" s="215" customFormat="1" ht="14.25" customHeight="1">
      <c r="A49" s="71"/>
      <c r="B49" s="71"/>
      <c r="C49" s="148" t="s">
        <v>124</v>
      </c>
      <c r="D49" s="163">
        <v>2000</v>
      </c>
      <c r="E49" s="115" t="s">
        <v>303</v>
      </c>
      <c r="F49" s="71" t="s">
        <v>304</v>
      </c>
      <c r="G49" s="71"/>
      <c r="H49" s="71"/>
      <c r="I49" s="71"/>
      <c r="J49" s="71"/>
      <c r="K49" s="71"/>
      <c r="L49" s="71"/>
      <c r="M49" s="72"/>
      <c r="Q49" s="72"/>
      <c r="R49" s="72"/>
      <c r="S49" s="71"/>
      <c r="T49" s="71"/>
      <c r="U49" s="93"/>
      <c r="V49" s="93"/>
    </row>
    <row r="50" spans="1:22" s="215" customFormat="1" ht="14.25" customHeight="1">
      <c r="A50" s="71"/>
      <c r="B50" s="71"/>
      <c r="C50" s="148" t="s">
        <v>125</v>
      </c>
      <c r="D50" s="167">
        <f>IF(D46="Y",D49*'Natural gas - emission calc.'!D20,0)</f>
        <v>0</v>
      </c>
      <c r="E50" s="115" t="s">
        <v>123</v>
      </c>
      <c r="F50" s="71"/>
      <c r="G50" s="71"/>
      <c r="H50" s="71"/>
      <c r="I50" s="71"/>
      <c r="J50" s="71"/>
      <c r="K50" s="71"/>
      <c r="L50" s="71"/>
      <c r="M50" s="72"/>
      <c r="Q50" s="72"/>
      <c r="R50" s="72"/>
      <c r="S50" s="71"/>
      <c r="T50" s="71"/>
      <c r="U50" s="93"/>
      <c r="V50" s="93"/>
    </row>
    <row r="51" spans="1:22" s="215" customFormat="1" ht="14.25" customHeight="1" thickBot="1">
      <c r="A51" s="71"/>
      <c r="B51" s="71"/>
      <c r="C51" s="148" t="s">
        <v>34</v>
      </c>
      <c r="D51" s="167">
        <f>D50*'Natural gas - emission calc.'!J5</f>
        <v>0</v>
      </c>
      <c r="E51" s="115" t="s">
        <v>126</v>
      </c>
      <c r="F51" s="71"/>
      <c r="G51" s="71"/>
      <c r="H51" s="71"/>
      <c r="I51" s="71"/>
      <c r="J51" s="71"/>
      <c r="K51" s="71"/>
      <c r="L51" s="71"/>
      <c r="M51" s="72"/>
      <c r="N51" s="71"/>
      <c r="O51" s="71"/>
      <c r="P51" s="71"/>
      <c r="Q51" s="72"/>
      <c r="R51" s="72"/>
      <c r="S51" s="71"/>
      <c r="T51" s="71"/>
      <c r="U51" s="93"/>
      <c r="V51" s="93"/>
    </row>
    <row r="52" spans="1:22" s="215" customFormat="1" ht="14.25" customHeight="1">
      <c r="A52" s="71"/>
      <c r="B52" s="71"/>
      <c r="C52" s="1100" t="s">
        <v>33</v>
      </c>
      <c r="D52" s="1101"/>
      <c r="E52" s="1102"/>
      <c r="F52" s="71"/>
      <c r="G52" s="71"/>
      <c r="H52" s="71"/>
      <c r="I52" s="71"/>
      <c r="J52" s="71"/>
      <c r="K52" s="71"/>
      <c r="L52" s="71"/>
      <c r="M52" s="72"/>
      <c r="N52" s="1103" t="s">
        <v>291</v>
      </c>
      <c r="O52" s="1104"/>
      <c r="P52" s="1104"/>
      <c r="Q52" s="1104"/>
      <c r="R52" s="1105"/>
      <c r="S52" s="71"/>
      <c r="T52" s="71"/>
      <c r="U52" s="93"/>
      <c r="V52" s="93"/>
    </row>
    <row r="53" spans="1:22" s="215" customFormat="1" ht="14.25" customHeight="1">
      <c r="A53" s="71"/>
      <c r="B53" s="71"/>
      <c r="C53" s="148" t="s">
        <v>30</v>
      </c>
      <c r="D53" s="167">
        <f>D50*'Natural gas - emission calc.'!G4</f>
        <v>0</v>
      </c>
      <c r="E53" s="115" t="s">
        <v>126</v>
      </c>
      <c r="F53" s="71"/>
      <c r="G53" s="71"/>
      <c r="H53" s="71"/>
      <c r="I53" s="71"/>
      <c r="J53" s="71"/>
      <c r="K53" s="71"/>
      <c r="L53" s="71"/>
      <c r="M53" s="207"/>
      <c r="N53" s="1106"/>
      <c r="O53" s="1107"/>
      <c r="P53" s="1107"/>
      <c r="Q53" s="1107"/>
      <c r="R53" s="1108"/>
      <c r="S53" s="71"/>
      <c r="T53" s="71"/>
      <c r="U53" s="93"/>
      <c r="V53" s="93"/>
    </row>
    <row r="54" spans="1:22" s="215" customFormat="1" ht="14.25" customHeight="1">
      <c r="A54" s="71"/>
      <c r="B54" s="71"/>
      <c r="C54" s="148" t="s">
        <v>40</v>
      </c>
      <c r="D54" s="135" t="s">
        <v>141</v>
      </c>
      <c r="E54" s="115"/>
      <c r="F54" s="71"/>
      <c r="G54" s="71"/>
      <c r="H54" s="71"/>
      <c r="I54" s="71"/>
      <c r="J54" s="71"/>
      <c r="K54" s="71"/>
      <c r="L54" s="71"/>
      <c r="M54" s="207"/>
      <c r="N54" s="1109" t="s">
        <v>1158</v>
      </c>
      <c r="O54" s="1110"/>
      <c r="P54" s="688"/>
      <c r="Q54" s="88"/>
      <c r="R54" s="81"/>
      <c r="S54" s="71"/>
      <c r="T54" s="71"/>
      <c r="U54" s="93"/>
      <c r="V54" s="93"/>
    </row>
    <row r="55" spans="1:22" s="215" customFormat="1" ht="14.25" customHeight="1">
      <c r="A55" s="71"/>
      <c r="B55" s="71"/>
      <c r="C55" s="148" t="s">
        <v>41</v>
      </c>
      <c r="D55" s="114" t="str">
        <f>IF(D54="Y","N","Y")</f>
        <v>Y</v>
      </c>
      <c r="E55" s="115"/>
      <c r="F55" s="71"/>
      <c r="G55" s="71"/>
      <c r="H55" s="71"/>
      <c r="I55" s="71"/>
      <c r="J55" s="71"/>
      <c r="K55" s="71"/>
      <c r="L55" s="71"/>
      <c r="M55" s="79"/>
      <c r="N55" s="80" t="s">
        <v>139</v>
      </c>
      <c r="O55" s="694" t="s">
        <v>185</v>
      </c>
      <c r="P55" s="88"/>
      <c r="Q55" s="88"/>
      <c r="R55" s="81"/>
      <c r="S55" s="71"/>
      <c r="T55" s="71"/>
      <c r="U55" s="93"/>
      <c r="V55" s="93"/>
    </row>
    <row r="56" spans="1:22" s="215" customFormat="1" ht="14.25" customHeight="1">
      <c r="A56" s="71"/>
      <c r="B56" s="71"/>
      <c r="C56" s="148" t="s">
        <v>42</v>
      </c>
      <c r="D56" s="168">
        <f>O74</f>
        <v>1.75</v>
      </c>
      <c r="E56" s="115"/>
      <c r="F56" s="1053" t="s">
        <v>305</v>
      </c>
      <c r="G56" s="71"/>
      <c r="H56" s="71"/>
      <c r="I56" s="71"/>
      <c r="J56" s="71"/>
      <c r="K56" s="71"/>
      <c r="L56" s="71"/>
      <c r="M56" s="79"/>
      <c r="N56" s="80" t="s">
        <v>43</v>
      </c>
      <c r="O56" s="694" t="s">
        <v>937</v>
      </c>
      <c r="P56" s="88"/>
      <c r="Q56" s="88"/>
      <c r="R56" s="81"/>
      <c r="S56" s="71"/>
      <c r="T56" s="71"/>
      <c r="U56" s="93"/>
      <c r="V56" s="93"/>
    </row>
    <row r="57" spans="1:22" s="215" customFormat="1" ht="14.25" customHeight="1">
      <c r="A57" s="71"/>
      <c r="B57" s="71"/>
      <c r="C57" s="148" t="s">
        <v>50</v>
      </c>
      <c r="D57" s="167">
        <f>IF(D46="Y",IF(D55="N",D47/'Natural gas - emission calc.'!$F10*'Natural gas - emission calc.'!$F12*D56,D47/'Natural gas - emission calc.'!$F10*'Natural gas - emission calc.'!$F13*D56/2),0)</f>
        <v>0</v>
      </c>
      <c r="E57" s="115" t="s">
        <v>115</v>
      </c>
      <c r="F57" s="1053"/>
      <c r="G57" s="71"/>
      <c r="H57" s="71"/>
      <c r="I57" s="71"/>
      <c r="J57" s="71"/>
      <c r="K57" s="71"/>
      <c r="L57" s="71"/>
      <c r="M57" s="79"/>
      <c r="N57" s="1109" t="s">
        <v>262</v>
      </c>
      <c r="O57" s="1110"/>
      <c r="P57" s="1110"/>
      <c r="Q57" s="88"/>
      <c r="R57" s="81"/>
      <c r="S57" s="71"/>
      <c r="T57" s="71"/>
      <c r="U57" s="93"/>
      <c r="V57" s="93"/>
    </row>
    <row r="58" spans="1:22" s="215" customFormat="1" ht="14.25" customHeight="1">
      <c r="A58" s="71"/>
      <c r="B58" s="71"/>
      <c r="C58" s="148" t="s">
        <v>49</v>
      </c>
      <c r="D58" s="167">
        <f>IF(D54="Y",'Natural gas - emission calc.'!H31,'Natural gas - emission calc.'!$H32)*D57</f>
        <v>0</v>
      </c>
      <c r="E58" s="115" t="s">
        <v>126</v>
      </c>
      <c r="F58" s="1053"/>
      <c r="G58" s="71"/>
      <c r="H58" s="71"/>
      <c r="I58" s="71"/>
      <c r="J58" s="71"/>
      <c r="K58" s="71"/>
      <c r="L58" s="71"/>
      <c r="M58" s="79"/>
      <c r="N58" s="80" t="s">
        <v>17</v>
      </c>
      <c r="O58" s="694">
        <v>1.5</v>
      </c>
      <c r="P58" s="88" t="s">
        <v>16</v>
      </c>
      <c r="Q58" s="72"/>
      <c r="R58" s="81"/>
      <c r="S58" s="71"/>
      <c r="T58" s="694"/>
      <c r="U58" s="93"/>
      <c r="V58" s="93"/>
    </row>
    <row r="59" spans="1:22" s="215" customFormat="1" ht="14.25" customHeight="1">
      <c r="A59" s="71"/>
      <c r="B59" s="71"/>
      <c r="C59" s="119" t="s">
        <v>54</v>
      </c>
      <c r="D59" s="1002">
        <v>0.01</v>
      </c>
      <c r="E59" s="115" t="s">
        <v>52</v>
      </c>
      <c r="F59" s="1053"/>
      <c r="G59" s="71"/>
      <c r="H59" s="71"/>
      <c r="I59" s="71"/>
      <c r="J59" s="71"/>
      <c r="K59" s="71"/>
      <c r="L59" s="71"/>
      <c r="M59" s="79"/>
      <c r="N59" s="80" t="s">
        <v>18</v>
      </c>
      <c r="O59" s="694">
        <v>2.5</v>
      </c>
      <c r="P59" s="88" t="s">
        <v>16</v>
      </c>
      <c r="Q59" s="72"/>
      <c r="R59" s="81"/>
      <c r="S59" s="71"/>
      <c r="T59" s="79"/>
      <c r="U59" s="93"/>
      <c r="V59" s="93"/>
    </row>
    <row r="60" spans="1:22" s="215" customFormat="1" ht="14.25" customHeight="1">
      <c r="A60" s="71"/>
      <c r="B60" s="71"/>
      <c r="C60" s="119" t="s">
        <v>53</v>
      </c>
      <c r="D60" s="167">
        <f>IF(D46="y",D59*'Natural gas - emission calc.'!D33*'Natural gas - emission calc.'!H33*8760,0)</f>
        <v>0</v>
      </c>
      <c r="E60" s="117" t="s">
        <v>126</v>
      </c>
      <c r="F60" s="1053"/>
      <c r="G60" s="71"/>
      <c r="H60" s="71"/>
      <c r="I60" s="71"/>
      <c r="J60" s="71"/>
      <c r="K60" s="71"/>
      <c r="L60" s="71"/>
      <c r="M60" s="79"/>
      <c r="N60" s="80" t="s">
        <v>261</v>
      </c>
      <c r="O60" s="694">
        <v>1.5</v>
      </c>
      <c r="P60" s="88" t="s">
        <v>16</v>
      </c>
      <c r="Q60" s="72"/>
      <c r="R60" s="81"/>
      <c r="S60" s="71"/>
      <c r="T60" s="694"/>
      <c r="U60" s="93"/>
      <c r="V60" s="93"/>
    </row>
    <row r="61" spans="1:22" s="215" customFormat="1" ht="14.25" customHeight="1">
      <c r="A61" s="71"/>
      <c r="B61" s="71"/>
      <c r="C61" s="119" t="s">
        <v>51</v>
      </c>
      <c r="D61" s="169">
        <f>'Natural gas - emission calc.'!H34*O78</f>
        <v>6.2100000000000002E-2</v>
      </c>
      <c r="E61" s="117" t="s">
        <v>55</v>
      </c>
      <c r="F61" s="1053"/>
      <c r="G61" s="71"/>
      <c r="H61" s="71"/>
      <c r="I61" s="71"/>
      <c r="J61" s="71"/>
      <c r="K61" s="71"/>
      <c r="L61" s="71"/>
      <c r="M61" s="79"/>
      <c r="N61" s="80"/>
      <c r="O61" s="88"/>
      <c r="P61" s="88"/>
      <c r="Q61" s="88"/>
      <c r="R61" s="81"/>
      <c r="S61" s="71"/>
      <c r="T61" s="694"/>
      <c r="U61" s="93"/>
      <c r="V61" s="93"/>
    </row>
    <row r="62" spans="1:22" s="215" customFormat="1" ht="14.25" customHeight="1">
      <c r="A62" s="71"/>
      <c r="B62" s="71"/>
      <c r="C62" s="148" t="s">
        <v>56</v>
      </c>
      <c r="D62" s="167">
        <f>IF(D46="y",D61*'Natural gas - emission calc.'!H33*'Natural gas - emission calc.'!D83/10^6,0)</f>
        <v>0</v>
      </c>
      <c r="E62" s="115" t="s">
        <v>126</v>
      </c>
      <c r="F62" s="1053"/>
      <c r="G62" s="71"/>
      <c r="H62" s="71"/>
      <c r="I62" s="71"/>
      <c r="J62" s="71"/>
      <c r="K62" s="71"/>
      <c r="L62" s="71"/>
      <c r="M62" s="79"/>
      <c r="N62" s="1111" t="s">
        <v>292</v>
      </c>
      <c r="O62" s="1112"/>
      <c r="P62" s="1112"/>
      <c r="Q62" s="1112"/>
      <c r="R62" s="1113"/>
      <c r="S62" s="71"/>
      <c r="T62" s="88"/>
      <c r="U62" s="93"/>
      <c r="V62" s="93"/>
    </row>
    <row r="63" spans="1:22" s="215" customFormat="1" ht="14.25" customHeight="1">
      <c r="A63" s="71"/>
      <c r="B63" s="71"/>
      <c r="C63" s="148"/>
      <c r="D63" s="167"/>
      <c r="E63" s="115"/>
      <c r="F63" s="71"/>
      <c r="G63" s="71"/>
      <c r="H63" s="71"/>
      <c r="I63" s="71"/>
      <c r="J63" s="71"/>
      <c r="K63" s="71"/>
      <c r="L63" s="71"/>
      <c r="M63" s="131"/>
      <c r="N63" s="83"/>
      <c r="O63" s="689" t="s">
        <v>143</v>
      </c>
      <c r="P63" s="689" t="s">
        <v>144</v>
      </c>
      <c r="Q63" s="689" t="s">
        <v>145</v>
      </c>
      <c r="R63" s="690" t="s">
        <v>288</v>
      </c>
      <c r="S63" s="71"/>
      <c r="T63" s="71"/>
      <c r="U63" s="93"/>
      <c r="V63" s="93"/>
    </row>
    <row r="64" spans="1:22" s="215" customFormat="1" ht="14.25" customHeight="1">
      <c r="A64" s="71"/>
      <c r="B64" s="71"/>
      <c r="C64" s="149" t="s">
        <v>294</v>
      </c>
      <c r="D64" s="216">
        <f>D62+D60+D58+D53</f>
        <v>0</v>
      </c>
      <c r="E64" s="150" t="s">
        <v>126</v>
      </c>
      <c r="F64" s="71"/>
      <c r="G64" s="71"/>
      <c r="H64" s="71"/>
      <c r="I64" s="71"/>
      <c r="J64" s="71"/>
      <c r="K64" s="71"/>
      <c r="L64" s="71"/>
      <c r="M64" s="694"/>
      <c r="N64" s="119" t="s">
        <v>146</v>
      </c>
      <c r="O64" s="1132">
        <v>0.11</v>
      </c>
      <c r="P64" s="1132"/>
      <c r="Q64" s="152" t="s">
        <v>147</v>
      </c>
      <c r="R64" s="109">
        <v>1</v>
      </c>
      <c r="S64" s="71"/>
      <c r="T64" s="71"/>
      <c r="U64" s="93"/>
      <c r="V64" s="93"/>
    </row>
    <row r="65" spans="1:22" s="215" customFormat="1" ht="14.25" customHeight="1">
      <c r="A65" s="71"/>
      <c r="B65" s="71"/>
      <c r="C65" s="149" t="s">
        <v>36</v>
      </c>
      <c r="D65" s="216">
        <f>D64+D53+D51</f>
        <v>0</v>
      </c>
      <c r="E65" s="150" t="s">
        <v>126</v>
      </c>
      <c r="F65" s="71"/>
      <c r="G65" s="71"/>
      <c r="H65" s="71"/>
      <c r="I65" s="71"/>
      <c r="J65" s="71"/>
      <c r="K65" s="71"/>
      <c r="L65" s="71"/>
      <c r="M65" s="152"/>
      <c r="N65" s="80" t="s">
        <v>148</v>
      </c>
      <c r="O65" s="175">
        <v>40000</v>
      </c>
      <c r="P65" s="175">
        <v>80000</v>
      </c>
      <c r="Q65" s="152" t="s">
        <v>149</v>
      </c>
      <c r="R65" s="109">
        <v>3</v>
      </c>
      <c r="S65" s="71"/>
      <c r="T65" s="71"/>
      <c r="U65" s="93"/>
      <c r="V65" s="93"/>
    </row>
    <row r="66" spans="1:22" s="215" customFormat="1" ht="14.25" customHeight="1">
      <c r="A66" s="71"/>
      <c r="B66" s="71"/>
      <c r="C66" s="149" t="s">
        <v>57</v>
      </c>
      <c r="D66" s="170" t="str">
        <f>IF(D46="y",D65/D47,"n/a")</f>
        <v>n/a</v>
      </c>
      <c r="E66" s="150" t="s">
        <v>38</v>
      </c>
      <c r="F66" s="71"/>
      <c r="G66" s="71"/>
      <c r="H66" s="71"/>
      <c r="I66" s="71"/>
      <c r="J66" s="71"/>
      <c r="K66" s="71"/>
      <c r="L66" s="71"/>
      <c r="M66" s="152"/>
      <c r="N66" s="113" t="s">
        <v>150</v>
      </c>
      <c r="O66" s="694">
        <v>0</v>
      </c>
      <c r="P66" s="694">
        <v>4</v>
      </c>
      <c r="Q66" s="88"/>
      <c r="R66" s="109">
        <v>4</v>
      </c>
      <c r="S66" s="71"/>
      <c r="T66" s="71"/>
      <c r="U66" s="93"/>
      <c r="V66" s="93"/>
    </row>
    <row r="67" spans="1:22" s="215" customFormat="1" ht="14.25" customHeight="1">
      <c r="A67" s="71"/>
      <c r="B67" s="71"/>
      <c r="C67" s="141" t="s">
        <v>285</v>
      </c>
      <c r="D67" s="171" t="str">
        <f>IF(D$65&gt;0,D51/D$65,"n/a")</f>
        <v>n/a</v>
      </c>
      <c r="E67" s="150"/>
      <c r="F67" s="71"/>
      <c r="G67" s="71"/>
      <c r="H67" s="71"/>
      <c r="I67" s="71"/>
      <c r="J67" s="71"/>
      <c r="K67" s="71"/>
      <c r="L67" s="71"/>
      <c r="M67" s="152"/>
      <c r="N67" s="119" t="s">
        <v>151</v>
      </c>
      <c r="O67" s="175">
        <v>4000</v>
      </c>
      <c r="P67" s="175">
        <v>15000</v>
      </c>
      <c r="Q67" s="152" t="s">
        <v>152</v>
      </c>
      <c r="R67" s="109">
        <v>2</v>
      </c>
      <c r="S67" s="71"/>
      <c r="T67" s="71"/>
      <c r="U67" s="93"/>
      <c r="V67" s="93"/>
    </row>
    <row r="68" spans="1:22" s="215" customFormat="1" ht="14.25" customHeight="1" thickBot="1">
      <c r="A68" s="71"/>
      <c r="B68" s="71"/>
      <c r="C68" s="165" t="s">
        <v>286</v>
      </c>
      <c r="D68" s="172" t="str">
        <f>IF(D$65&gt;0,D64/D$65,"n/a")</f>
        <v>n/a</v>
      </c>
      <c r="E68" s="151"/>
      <c r="F68" s="71"/>
      <c r="G68" s="71"/>
      <c r="H68" s="71"/>
      <c r="I68" s="71"/>
      <c r="J68" s="71"/>
      <c r="K68" s="71"/>
      <c r="L68" s="71"/>
      <c r="M68" s="152"/>
      <c r="N68" s="86" t="s">
        <v>153</v>
      </c>
      <c r="O68" s="1133" t="s">
        <v>936</v>
      </c>
      <c r="P68" s="1133"/>
      <c r="Q68" s="1133"/>
      <c r="R68" s="1134"/>
      <c r="S68" s="71"/>
      <c r="T68" s="71"/>
      <c r="U68" s="93"/>
      <c r="V68" s="93"/>
    </row>
    <row r="69" spans="1:22" s="215" customFormat="1" ht="14.25" customHeight="1">
      <c r="A69" s="71"/>
      <c r="B69" s="71"/>
      <c r="C69" s="71"/>
      <c r="D69" s="71"/>
      <c r="E69" s="71"/>
      <c r="F69" s="71"/>
      <c r="G69" s="71"/>
      <c r="H69" s="71"/>
      <c r="I69" s="71"/>
      <c r="J69" s="71"/>
      <c r="K69" s="71"/>
      <c r="L69" s="71"/>
      <c r="M69" s="152"/>
      <c r="N69" s="72"/>
      <c r="O69" s="72"/>
      <c r="P69" s="71"/>
      <c r="Q69" s="71"/>
      <c r="R69" s="72"/>
      <c r="S69" s="71"/>
      <c r="T69" s="71"/>
      <c r="U69" s="93"/>
      <c r="V69" s="93"/>
    </row>
    <row r="70" spans="1:22" s="215" customFormat="1" ht="14.25" customHeight="1" thickBot="1">
      <c r="A70" s="71"/>
      <c r="B70" s="71"/>
      <c r="C70" s="71"/>
      <c r="D70" s="71"/>
      <c r="E70" s="71"/>
      <c r="F70" s="71"/>
      <c r="G70" s="71"/>
      <c r="H70" s="71"/>
      <c r="I70" s="71"/>
      <c r="J70" s="71"/>
      <c r="K70" s="72"/>
      <c r="L70" s="72"/>
      <c r="M70" s="72"/>
      <c r="N70" s="72"/>
      <c r="O70" s="72"/>
      <c r="P70" s="71"/>
      <c r="Q70" s="71"/>
      <c r="R70" s="72"/>
      <c r="S70" s="71"/>
      <c r="T70" s="71"/>
      <c r="U70" s="93"/>
      <c r="V70" s="93"/>
    </row>
    <row r="71" spans="1:22" s="215" customFormat="1" ht="14.25" customHeight="1" thickBot="1">
      <c r="A71" s="71"/>
      <c r="B71" s="71"/>
      <c r="C71" s="1114" t="s">
        <v>284</v>
      </c>
      <c r="D71" s="1115"/>
      <c r="E71" s="1116"/>
      <c r="F71" s="71"/>
      <c r="G71" s="71"/>
      <c r="H71" s="71"/>
      <c r="I71" s="71"/>
      <c r="J71" s="71"/>
      <c r="K71" s="72"/>
      <c r="L71" s="72"/>
      <c r="M71" s="72"/>
      <c r="N71" s="1088" t="s">
        <v>295</v>
      </c>
      <c r="O71" s="1089"/>
      <c r="P71" s="1090"/>
      <c r="Q71" s="71"/>
      <c r="R71" s="72"/>
      <c r="S71" s="71"/>
      <c r="T71" s="71"/>
      <c r="U71" s="93"/>
      <c r="V71" s="93"/>
    </row>
    <row r="72" spans="1:22" s="215" customFormat="1" ht="14.25" customHeight="1">
      <c r="A72" s="71"/>
      <c r="B72" s="71"/>
      <c r="C72" s="113" t="s">
        <v>39</v>
      </c>
      <c r="D72" s="146" t="str">
        <f>D26</f>
        <v>Y</v>
      </c>
      <c r="E72" s="84" t="s">
        <v>85</v>
      </c>
      <c r="F72" s="71"/>
      <c r="G72" s="71"/>
      <c r="H72" s="71"/>
      <c r="I72" s="71"/>
      <c r="J72" s="71"/>
      <c r="K72" s="72"/>
      <c r="L72" s="72"/>
      <c r="M72" s="72"/>
      <c r="N72" s="1117" t="s">
        <v>1260</v>
      </c>
      <c r="O72" s="1118"/>
      <c r="P72" s="1119"/>
      <c r="Q72" s="71"/>
      <c r="R72" s="72"/>
      <c r="S72" s="71"/>
      <c r="T72" s="71"/>
      <c r="U72" s="93"/>
      <c r="V72" s="93"/>
    </row>
    <row r="73" spans="1:22" s="215" customFormat="1" ht="14.25" customHeight="1">
      <c r="A73" s="71"/>
      <c r="B73" s="71"/>
      <c r="C73" s="148" t="s">
        <v>122</v>
      </c>
      <c r="D73" s="580">
        <f>IF(D72="Y",D102,0)</f>
        <v>2683.5007728168366</v>
      </c>
      <c r="E73" s="115" t="s">
        <v>115</v>
      </c>
      <c r="F73" s="71"/>
      <c r="G73" s="71"/>
      <c r="H73" s="71"/>
      <c r="I73" s="71"/>
      <c r="J73" s="71"/>
      <c r="K73" s="72"/>
      <c r="L73" s="72"/>
      <c r="M73" s="72"/>
      <c r="N73" s="116" t="s">
        <v>139</v>
      </c>
      <c r="O73" s="211">
        <v>0.9</v>
      </c>
      <c r="P73" s="1120" t="s">
        <v>289</v>
      </c>
      <c r="Q73" s="71"/>
      <c r="R73" s="72"/>
      <c r="S73" s="71"/>
      <c r="T73" s="71"/>
      <c r="U73" s="93"/>
      <c r="V73" s="93"/>
    </row>
    <row r="74" spans="1:22" s="215" customFormat="1" ht="14.25" customHeight="1">
      <c r="A74" s="71"/>
      <c r="B74" s="71"/>
      <c r="C74" s="1100" t="s">
        <v>58</v>
      </c>
      <c r="D74" s="1101"/>
      <c r="E74" s="1102"/>
      <c r="F74" s="71"/>
      <c r="G74" s="71"/>
      <c r="H74" s="71"/>
      <c r="I74" s="71"/>
      <c r="J74" s="71"/>
      <c r="K74" s="72"/>
      <c r="L74" s="72"/>
      <c r="M74" s="72"/>
      <c r="N74" s="116" t="s">
        <v>43</v>
      </c>
      <c r="O74" s="135">
        <v>1.75</v>
      </c>
      <c r="P74" s="1120"/>
      <c r="Q74" s="71"/>
      <c r="R74" s="72"/>
      <c r="S74" s="71"/>
      <c r="T74" s="71"/>
      <c r="U74" s="93"/>
      <c r="V74" s="93"/>
    </row>
    <row r="75" spans="1:22" s="215" customFormat="1" ht="14.25" customHeight="1">
      <c r="A75" s="71"/>
      <c r="B75" s="71"/>
      <c r="C75" s="148" t="s">
        <v>124</v>
      </c>
      <c r="D75" s="673">
        <v>80</v>
      </c>
      <c r="E75" s="115" t="s">
        <v>303</v>
      </c>
      <c r="F75" s="71" t="s">
        <v>304</v>
      </c>
      <c r="G75" s="71"/>
      <c r="H75" s="71"/>
      <c r="I75" s="71"/>
      <c r="J75" s="71"/>
      <c r="K75" s="72"/>
      <c r="L75" s="72"/>
      <c r="M75" s="72"/>
      <c r="N75" s="116" t="s">
        <v>19</v>
      </c>
      <c r="O75" s="179">
        <v>3</v>
      </c>
      <c r="P75" s="1120"/>
      <c r="Q75" s="71"/>
      <c r="R75" s="72"/>
      <c r="S75" s="71"/>
      <c r="T75" s="71"/>
      <c r="U75" s="93"/>
      <c r="V75" s="93"/>
    </row>
    <row r="76" spans="1:22" s="215" customFormat="1" ht="14.25" customHeight="1">
      <c r="A76" s="71"/>
      <c r="B76" s="71"/>
      <c r="C76" s="148" t="s">
        <v>125</v>
      </c>
      <c r="D76" s="580">
        <f>IF(D72="y",D75*'Natural gas - emission calc.'!D20*1000,0)</f>
        <v>80000000</v>
      </c>
      <c r="E76" s="115" t="s">
        <v>123</v>
      </c>
      <c r="F76" s="71"/>
      <c r="G76" s="71"/>
      <c r="H76" s="71"/>
      <c r="I76" s="71"/>
      <c r="J76" s="71"/>
      <c r="K76" s="72"/>
      <c r="L76" s="72"/>
      <c r="M76" s="72"/>
      <c r="N76" s="116"/>
      <c r="O76" s="146"/>
      <c r="P76" s="81"/>
      <c r="Q76" s="71"/>
      <c r="R76" s="72"/>
      <c r="S76" s="71"/>
      <c r="T76" s="71"/>
      <c r="U76" s="93"/>
      <c r="V76" s="93"/>
    </row>
    <row r="77" spans="1:22" s="215" customFormat="1" ht="14.25" customHeight="1">
      <c r="A77" s="71"/>
      <c r="B77" s="71"/>
      <c r="C77" s="149" t="s">
        <v>34</v>
      </c>
      <c r="D77" s="216">
        <f>D76*'Natural gas - emission calc.'!J5</f>
        <v>7195288.0296778511</v>
      </c>
      <c r="E77" s="150" t="s">
        <v>126</v>
      </c>
      <c r="F77" s="71"/>
      <c r="G77" s="71"/>
      <c r="H77" s="71"/>
      <c r="I77" s="71"/>
      <c r="J77" s="71"/>
      <c r="K77" s="72"/>
      <c r="L77" s="72"/>
      <c r="M77" s="72"/>
      <c r="N77" s="116" t="s">
        <v>1258</v>
      </c>
      <c r="O77" s="134">
        <f>O75*O59+O60+O58</f>
        <v>10.5</v>
      </c>
      <c r="P77" s="81" t="s">
        <v>16</v>
      </c>
      <c r="Q77" s="71"/>
      <c r="R77" s="72"/>
      <c r="S77" s="71"/>
      <c r="T77" s="71"/>
      <c r="U77" s="93"/>
      <c r="V77" s="93"/>
    </row>
    <row r="78" spans="1:22" s="215" customFormat="1" ht="14.25" customHeight="1" thickBot="1">
      <c r="A78" s="71"/>
      <c r="B78" s="71"/>
      <c r="C78" s="1100" t="s">
        <v>33</v>
      </c>
      <c r="D78" s="1101"/>
      <c r="E78" s="1102"/>
      <c r="F78" s="71"/>
      <c r="G78" s="71"/>
      <c r="H78" s="71"/>
      <c r="I78" s="71"/>
      <c r="J78" s="71"/>
      <c r="K78" s="72"/>
      <c r="L78" s="72"/>
      <c r="M78" s="72"/>
      <c r="N78" s="995" t="s">
        <v>1259</v>
      </c>
      <c r="O78" s="996">
        <f>O58</f>
        <v>1.5</v>
      </c>
      <c r="P78" s="87" t="s">
        <v>16</v>
      </c>
      <c r="Q78" s="71"/>
      <c r="R78" s="72"/>
      <c r="S78" s="71"/>
      <c r="T78" s="71"/>
      <c r="U78" s="93"/>
      <c r="V78" s="93"/>
    </row>
    <row r="79" spans="1:22" s="215" customFormat="1" ht="14.25" customHeight="1">
      <c r="A79" s="71"/>
      <c r="B79" s="71"/>
      <c r="C79" s="148" t="s">
        <v>30</v>
      </c>
      <c r="D79" s="580">
        <f>D76*'Natural gas - emission calc.'!G4</f>
        <v>1600000</v>
      </c>
      <c r="E79" s="115" t="s">
        <v>126</v>
      </c>
      <c r="F79" s="71"/>
      <c r="G79" s="71"/>
      <c r="H79" s="71"/>
      <c r="I79" s="71"/>
      <c r="J79" s="71"/>
      <c r="K79" s="72"/>
      <c r="L79" s="72"/>
      <c r="M79" s="72"/>
      <c r="N79" s="88"/>
      <c r="O79" s="152"/>
      <c r="P79" s="88"/>
      <c r="Q79" s="71"/>
      <c r="R79" s="72"/>
      <c r="S79" s="71"/>
      <c r="T79" s="71"/>
      <c r="U79" s="93"/>
      <c r="V79" s="93"/>
    </row>
    <row r="80" spans="1:22" s="215" customFormat="1" ht="14.25" customHeight="1">
      <c r="A80" s="71"/>
      <c r="B80" s="71"/>
      <c r="C80" s="148" t="s">
        <v>40</v>
      </c>
      <c r="D80" s="135" t="s">
        <v>44</v>
      </c>
      <c r="E80" s="115"/>
      <c r="F80" s="71"/>
      <c r="G80" s="71"/>
      <c r="H80" s="71"/>
      <c r="I80" s="71"/>
      <c r="J80" s="71"/>
      <c r="K80" s="72"/>
      <c r="L80" s="72"/>
      <c r="M80" s="72"/>
      <c r="N80" s="404"/>
      <c r="O80" s="404"/>
      <c r="P80" s="404"/>
      <c r="Q80" s="71"/>
      <c r="R80" s="72"/>
      <c r="S80" s="71"/>
      <c r="T80" s="71"/>
      <c r="U80" s="93"/>
      <c r="V80" s="93"/>
    </row>
    <row r="81" spans="1:22" s="215" customFormat="1" ht="14.25" customHeight="1" thickBot="1">
      <c r="A81" s="71"/>
      <c r="B81" s="71"/>
      <c r="C81" s="148" t="s">
        <v>41</v>
      </c>
      <c r="D81" s="114" t="str">
        <f>IF(D80="Y","N","Y")</f>
        <v>N</v>
      </c>
      <c r="E81" s="115"/>
      <c r="F81" s="71"/>
      <c r="G81" s="71"/>
      <c r="H81" s="71"/>
      <c r="I81" s="71"/>
      <c r="J81" s="71"/>
      <c r="K81" s="72"/>
      <c r="L81" s="72"/>
      <c r="M81" s="72"/>
      <c r="N81" s="88"/>
      <c r="O81" s="95"/>
      <c r="P81" s="88"/>
      <c r="Q81" s="71"/>
      <c r="R81" s="72"/>
      <c r="S81" s="71"/>
      <c r="T81" s="71"/>
      <c r="U81" s="93"/>
      <c r="V81" s="93"/>
    </row>
    <row r="82" spans="1:22" s="215" customFormat="1" ht="14.25" customHeight="1">
      <c r="A82" s="71"/>
      <c r="B82" s="71"/>
      <c r="C82" s="148" t="s">
        <v>332</v>
      </c>
      <c r="D82" s="168">
        <f>O73</f>
        <v>0.9</v>
      </c>
      <c r="E82" s="115"/>
      <c r="F82" s="71"/>
      <c r="G82" s="71"/>
      <c r="H82" s="71"/>
      <c r="I82" s="71"/>
      <c r="J82" s="71"/>
      <c r="K82" s="72"/>
      <c r="L82" s="72"/>
      <c r="M82" s="72"/>
      <c r="N82" s="1088" t="s">
        <v>290</v>
      </c>
      <c r="O82" s="1089"/>
      <c r="P82" s="1090"/>
      <c r="Q82" s="71"/>
      <c r="R82" s="72"/>
      <c r="S82" s="71"/>
      <c r="T82" s="71"/>
      <c r="U82" s="93"/>
      <c r="V82" s="93"/>
    </row>
    <row r="83" spans="1:22" s="215" customFormat="1" ht="14.25" customHeight="1">
      <c r="A83" s="71"/>
      <c r="B83" s="71"/>
      <c r="C83" s="148" t="s">
        <v>50</v>
      </c>
      <c r="D83" s="580">
        <f>IF(D72="Y",IF(D81="N",D73/'Natural gas - emission calc.'!$F10*'Natural gas - emission calc.'!$F12*D82,D73/'Natural gas - emission calc.'!$F10*'Natural gas - emission calc.'!$F13*D82/2),0)</f>
        <v>933.12640509312735</v>
      </c>
      <c r="E83" s="115" t="s">
        <v>115</v>
      </c>
      <c r="F83" s="1053" t="s">
        <v>305</v>
      </c>
      <c r="G83" s="71"/>
      <c r="H83" s="71"/>
      <c r="I83" s="71"/>
      <c r="J83" s="71"/>
      <c r="K83" s="72"/>
      <c r="L83" s="72"/>
      <c r="M83" s="72"/>
      <c r="N83" s="80" t="s">
        <v>154</v>
      </c>
      <c r="O83" s="135">
        <v>0.11</v>
      </c>
      <c r="P83" s="81" t="s">
        <v>147</v>
      </c>
      <c r="Q83" s="71"/>
      <c r="R83" s="72"/>
      <c r="S83" s="71"/>
      <c r="T83" s="71"/>
      <c r="U83" s="93"/>
      <c r="V83" s="93"/>
    </row>
    <row r="84" spans="1:22" s="215" customFormat="1" ht="14.25" customHeight="1">
      <c r="A84" s="71"/>
      <c r="B84" s="71"/>
      <c r="C84" s="148" t="s">
        <v>49</v>
      </c>
      <c r="D84" s="580">
        <f>IF(D80="Y",'Natural gas - emission calc.'!$H31,'Natural gas - emission calc.'!$H32)*D83</f>
        <v>419906.88229190733</v>
      </c>
      <c r="E84" s="115" t="s">
        <v>126</v>
      </c>
      <c r="F84" s="1053"/>
      <c r="G84" s="71"/>
      <c r="H84" s="71"/>
      <c r="I84" s="71"/>
      <c r="J84" s="71"/>
      <c r="K84" s="72"/>
      <c r="L84" s="72"/>
      <c r="M84" s="72"/>
      <c r="N84" s="80" t="s">
        <v>155</v>
      </c>
      <c r="O84" s="134">
        <f>O83*'Natural gas - emission calc.'!D20</f>
        <v>110</v>
      </c>
      <c r="P84" s="81" t="s">
        <v>156</v>
      </c>
      <c r="Q84" s="71"/>
      <c r="R84" s="72"/>
      <c r="S84" s="71"/>
      <c r="T84" s="71"/>
      <c r="U84" s="93"/>
      <c r="V84" s="93"/>
    </row>
    <row r="85" spans="1:22" s="215" customFormat="1" ht="14.25" customHeight="1">
      <c r="A85" s="71"/>
      <c r="B85" s="71"/>
      <c r="C85" s="119" t="s">
        <v>54</v>
      </c>
      <c r="D85" s="1002">
        <v>0.01</v>
      </c>
      <c r="E85" s="115" t="s">
        <v>52</v>
      </c>
      <c r="F85" s="1053"/>
      <c r="G85" s="71"/>
      <c r="H85" s="71"/>
      <c r="I85" s="71"/>
      <c r="J85" s="71"/>
      <c r="K85" s="72"/>
      <c r="L85" s="72"/>
      <c r="M85" s="72"/>
      <c r="N85" s="80" t="s">
        <v>148</v>
      </c>
      <c r="O85" s="135">
        <v>20000</v>
      </c>
      <c r="P85" s="81" t="s">
        <v>149</v>
      </c>
      <c r="Q85" s="71"/>
      <c r="R85" s="72"/>
      <c r="S85" s="71"/>
      <c r="T85" s="71"/>
      <c r="U85" s="93"/>
      <c r="V85" s="93"/>
    </row>
    <row r="86" spans="1:22" s="215" customFormat="1" ht="14.25" customHeight="1">
      <c r="A86" s="71"/>
      <c r="B86" s="71"/>
      <c r="C86" s="119" t="s">
        <v>53</v>
      </c>
      <c r="D86" s="580">
        <f>IF(D72="y",D85*'Natural gas - emission calc.'!D33*'Natural gas - emission calc.'!H33*8760/100,0)</f>
        <v>1800</v>
      </c>
      <c r="E86" s="117" t="s">
        <v>126</v>
      </c>
      <c r="F86" s="1053"/>
      <c r="G86" s="71"/>
      <c r="H86" s="71"/>
      <c r="I86" s="71"/>
      <c r="J86" s="71"/>
      <c r="K86" s="72"/>
      <c r="L86" s="72"/>
      <c r="M86" s="72"/>
      <c r="N86" s="80" t="s">
        <v>513</v>
      </c>
      <c r="O86" s="439">
        <v>0.2</v>
      </c>
      <c r="P86" s="81"/>
      <c r="Q86" s="71"/>
      <c r="R86" s="72"/>
      <c r="S86" s="71"/>
      <c r="T86" s="71"/>
      <c r="U86" s="93"/>
      <c r="V86" s="93"/>
    </row>
    <row r="87" spans="1:22" s="215" customFormat="1" ht="14.25" customHeight="1">
      <c r="A87" s="71"/>
      <c r="B87" s="71"/>
      <c r="C87" s="119" t="s">
        <v>51</v>
      </c>
      <c r="D87" s="169">
        <f>'Natural gas - emission calc.'!H34*O77</f>
        <v>0.43469999999999998</v>
      </c>
      <c r="E87" s="117" t="s">
        <v>55</v>
      </c>
      <c r="F87" s="1053"/>
      <c r="G87" s="71"/>
      <c r="H87" s="71"/>
      <c r="I87" s="71"/>
      <c r="J87" s="71"/>
      <c r="K87" s="72"/>
      <c r="L87" s="72"/>
      <c r="M87" s="72"/>
      <c r="N87" s="80" t="s">
        <v>514</v>
      </c>
      <c r="O87" s="134">
        <f>O85*(1-O86)</f>
        <v>16000</v>
      </c>
      <c r="P87" s="81" t="s">
        <v>149</v>
      </c>
      <c r="Q87" s="71"/>
      <c r="R87" s="72"/>
      <c r="S87" s="71"/>
      <c r="T87" s="71"/>
      <c r="U87" s="93"/>
      <c r="V87" s="93"/>
    </row>
    <row r="88" spans="1:22" s="215" customFormat="1" ht="14.25" customHeight="1">
      <c r="A88" s="71"/>
      <c r="B88" s="71"/>
      <c r="C88" s="148" t="s">
        <v>56</v>
      </c>
      <c r="D88" s="580">
        <f>IF(D72="y",D87*'Natural gas - emission calc.'!H33*'Natural gas - emission calc.'!D81/10^6,0)</f>
        <v>86786.810642634795</v>
      </c>
      <c r="E88" s="115" t="s">
        <v>126</v>
      </c>
      <c r="F88" s="1053"/>
      <c r="G88" s="71"/>
      <c r="H88" s="71"/>
      <c r="I88" s="71"/>
      <c r="J88" s="71"/>
      <c r="K88" s="72"/>
      <c r="L88" s="72"/>
      <c r="M88" s="72"/>
      <c r="N88" s="113" t="s">
        <v>150</v>
      </c>
      <c r="O88" s="135">
        <v>2</v>
      </c>
      <c r="P88" s="81"/>
      <c r="Q88" s="71"/>
      <c r="R88" s="72"/>
      <c r="S88" s="71"/>
      <c r="T88" s="71"/>
      <c r="U88" s="93"/>
      <c r="V88" s="93"/>
    </row>
    <row r="89" spans="1:22" s="215" customFormat="1" ht="14.25" customHeight="1">
      <c r="A89" s="71"/>
      <c r="B89" s="71"/>
      <c r="C89" s="148" t="s">
        <v>142</v>
      </c>
      <c r="D89" s="580">
        <f>IF(D72="Y",O90,0)</f>
        <v>165082.5</v>
      </c>
      <c r="E89" s="115" t="s">
        <v>126</v>
      </c>
      <c r="F89" s="1053"/>
      <c r="G89" s="71"/>
      <c r="H89" s="71"/>
      <c r="I89" s="71"/>
      <c r="J89" s="71"/>
      <c r="K89" s="72"/>
      <c r="L89" s="72"/>
      <c r="M89" s="72"/>
      <c r="N89" s="80" t="s">
        <v>157</v>
      </c>
      <c r="O89" s="144">
        <f>IF('Natural gas - emission calc.'!D31="n",'Natural gas - NOx Analysis'!O85/('Natural gas - emission calc.'!D33*8760/100),'Natural gas - NOx Analysis'!O87/('Natural gas - emission calc.'!D33*8760/100))</f>
        <v>2.6666666666666665</v>
      </c>
      <c r="P89" s="81" t="s">
        <v>158</v>
      </c>
      <c r="Q89" s="71"/>
      <c r="R89" s="72"/>
      <c r="S89" s="71"/>
      <c r="T89" s="71"/>
      <c r="U89" s="93"/>
      <c r="V89" s="93"/>
    </row>
    <row r="90" spans="1:22" s="215" customFormat="1" ht="14.25" customHeight="1" thickBot="1">
      <c r="A90" s="71"/>
      <c r="B90" s="71"/>
      <c r="C90" s="80"/>
      <c r="D90" s="164"/>
      <c r="E90" s="81"/>
      <c r="F90" s="71"/>
      <c r="G90" s="71"/>
      <c r="H90" s="71"/>
      <c r="I90" s="71"/>
      <c r="J90" s="71"/>
      <c r="K90" s="72"/>
      <c r="L90" s="72"/>
      <c r="M90" s="72"/>
      <c r="N90" s="86" t="s">
        <v>159</v>
      </c>
      <c r="O90" s="145">
        <f>(O84*O67+O88*O84)/O89</f>
        <v>165082.5</v>
      </c>
      <c r="P90" s="87" t="s">
        <v>126</v>
      </c>
      <c r="Q90" s="71"/>
      <c r="R90" s="72"/>
      <c r="S90" s="71"/>
      <c r="T90" s="71"/>
      <c r="U90" s="93"/>
      <c r="V90" s="93"/>
    </row>
    <row r="91" spans="1:22" s="215" customFormat="1" ht="14.25" customHeight="1">
      <c r="A91" s="71"/>
      <c r="B91" s="71"/>
      <c r="C91" s="149" t="s">
        <v>293</v>
      </c>
      <c r="D91" s="216">
        <f>D88+D86+D84+D89+D79</f>
        <v>2273576.192934542</v>
      </c>
      <c r="E91" s="150" t="s">
        <v>126</v>
      </c>
      <c r="F91" s="71"/>
      <c r="G91" s="71"/>
      <c r="H91" s="71"/>
      <c r="I91" s="71"/>
      <c r="J91" s="71"/>
      <c r="K91" s="72"/>
      <c r="L91" s="72"/>
      <c r="M91" s="72"/>
      <c r="N91" s="72"/>
      <c r="O91" s="72"/>
      <c r="P91" s="71"/>
      <c r="Q91" s="71"/>
      <c r="R91" s="72"/>
      <c r="S91" s="71"/>
      <c r="T91" s="71"/>
      <c r="U91" s="93"/>
      <c r="V91" s="93"/>
    </row>
    <row r="92" spans="1:22" s="215" customFormat="1" ht="14.25" customHeight="1">
      <c r="A92" s="71"/>
      <c r="B92" s="71"/>
      <c r="C92" s="149" t="s">
        <v>36</v>
      </c>
      <c r="D92" s="216">
        <f>D91+D77</f>
        <v>9468864.2226123922</v>
      </c>
      <c r="E92" s="150" t="s">
        <v>126</v>
      </c>
      <c r="F92" s="71"/>
      <c r="G92" s="71"/>
      <c r="H92" s="71"/>
      <c r="I92" s="71"/>
      <c r="J92" s="71"/>
      <c r="K92" s="72"/>
      <c r="L92" s="72"/>
      <c r="M92" s="72"/>
      <c r="N92" s="72"/>
      <c r="O92" s="72"/>
      <c r="P92" s="71"/>
      <c r="Q92" s="71"/>
      <c r="R92" s="72"/>
      <c r="S92" s="71"/>
      <c r="T92" s="71"/>
      <c r="U92" s="93"/>
      <c r="V92" s="93"/>
    </row>
    <row r="93" spans="1:22" s="215" customFormat="1" ht="14.25" customHeight="1">
      <c r="A93" s="71"/>
      <c r="B93" s="71"/>
      <c r="C93" s="149" t="s">
        <v>57</v>
      </c>
      <c r="D93" s="216">
        <f>IF(D72="y",D92/D73,"n/a")</f>
        <v>3528.5490947233998</v>
      </c>
      <c r="E93" s="150" t="s">
        <v>38</v>
      </c>
      <c r="F93" s="71"/>
      <c r="G93" s="71"/>
      <c r="H93" s="71"/>
      <c r="I93" s="71"/>
      <c r="J93" s="71"/>
      <c r="K93" s="72"/>
      <c r="L93" s="72"/>
      <c r="M93" s="72"/>
      <c r="N93" s="72"/>
      <c r="O93" s="72"/>
      <c r="P93" s="71"/>
      <c r="Q93" s="71"/>
      <c r="R93" s="72"/>
      <c r="S93" s="71"/>
      <c r="T93" s="71"/>
      <c r="U93" s="93"/>
      <c r="V93" s="93"/>
    </row>
    <row r="94" spans="1:22" s="215" customFormat="1" ht="14.25" customHeight="1">
      <c r="A94" s="71"/>
      <c r="B94" s="71"/>
      <c r="C94" s="141" t="s">
        <v>285</v>
      </c>
      <c r="D94" s="171">
        <f>IF(D92&gt;0,D77/D92,"n/a")</f>
        <v>0.75988923914390261</v>
      </c>
      <c r="E94" s="173"/>
      <c r="F94" s="71"/>
      <c r="G94" s="71"/>
      <c r="H94" s="71"/>
      <c r="I94" s="71"/>
      <c r="J94" s="71"/>
      <c r="K94" s="72"/>
      <c r="L94" s="72"/>
      <c r="M94" s="72"/>
      <c r="N94" s="72"/>
      <c r="O94" s="72"/>
      <c r="P94" s="71"/>
      <c r="Q94" s="71"/>
      <c r="R94" s="72"/>
      <c r="S94" s="71"/>
      <c r="T94" s="71"/>
      <c r="U94" s="93"/>
      <c r="V94" s="93"/>
    </row>
    <row r="95" spans="1:22" s="215" customFormat="1" ht="14.25" customHeight="1" thickBot="1">
      <c r="A95" s="71"/>
      <c r="B95" s="71"/>
      <c r="C95" s="165" t="s">
        <v>286</v>
      </c>
      <c r="D95" s="172">
        <f>IF(D92&gt;0,D91/D92,"n/a")</f>
        <v>0.24011076085609753</v>
      </c>
      <c r="E95" s="174"/>
      <c r="F95" s="71"/>
      <c r="G95" s="71"/>
      <c r="H95" s="71"/>
      <c r="I95" s="71"/>
      <c r="J95" s="71"/>
      <c r="K95" s="72"/>
      <c r="L95" s="72"/>
      <c r="M95" s="72"/>
      <c r="N95" s="72"/>
      <c r="O95" s="72"/>
      <c r="P95" s="71"/>
      <c r="Q95" s="71"/>
      <c r="R95" s="72"/>
      <c r="S95" s="71"/>
      <c r="T95" s="71"/>
      <c r="U95" s="93"/>
      <c r="V95" s="93"/>
    </row>
    <row r="96" spans="1:22" s="215" customFormat="1" ht="14.25" customHeight="1" thickBot="1">
      <c r="A96" s="71"/>
      <c r="B96" s="71"/>
      <c r="C96" s="71"/>
      <c r="D96" s="71"/>
      <c r="E96" s="71"/>
      <c r="F96" s="71"/>
      <c r="G96" s="71"/>
      <c r="H96" s="71"/>
      <c r="I96" s="71"/>
      <c r="J96" s="71"/>
      <c r="K96" s="72"/>
      <c r="L96" s="72"/>
      <c r="M96" s="72"/>
      <c r="N96" s="72"/>
      <c r="O96" s="72"/>
      <c r="P96" s="71"/>
      <c r="Q96" s="71"/>
      <c r="R96" s="72"/>
      <c r="S96" s="71"/>
      <c r="T96" s="71"/>
      <c r="U96" s="93"/>
      <c r="V96" s="93"/>
    </row>
    <row r="97" spans="1:30" s="215" customFormat="1" ht="14.25" customHeight="1">
      <c r="A97" s="71"/>
      <c r="B97" s="71"/>
      <c r="C97" s="1091" t="s">
        <v>118</v>
      </c>
      <c r="D97" s="1092"/>
      <c r="E97" s="1092"/>
      <c r="F97" s="1093"/>
      <c r="G97" s="71"/>
      <c r="H97" s="71"/>
      <c r="I97" s="71"/>
      <c r="J97" s="71"/>
      <c r="K97" s="72"/>
      <c r="L97" s="72"/>
      <c r="M97" s="72"/>
      <c r="N97" s="72"/>
      <c r="O97" s="72"/>
      <c r="P97" s="71"/>
      <c r="Q97" s="71"/>
      <c r="R97" s="72"/>
      <c r="S97" s="71"/>
      <c r="T97" s="71"/>
      <c r="U97" s="93"/>
      <c r="V97" s="93"/>
    </row>
    <row r="98" spans="1:30" s="215" customFormat="1" ht="14.25" customHeight="1">
      <c r="A98" s="71"/>
      <c r="B98" s="71"/>
      <c r="C98" s="80" t="s">
        <v>113</v>
      </c>
      <c r="D98" s="152">
        <f>IF('Natural gas - NOx Analysis'!D20&lt;1,IF('Natural gas - NOx Analysis'!D18&lt;1,'Natural gas - emission calc.'!D86,'Natural gas - emission calc.'!D86-'Natural gas - NOx Analysis'!D18),'Natural gas - emission calc.'!D86-'Natural gas - NOx Analysis'!D20)</f>
        <v>450</v>
      </c>
      <c r="E98" s="159" t="s">
        <v>409</v>
      </c>
      <c r="F98" s="81"/>
      <c r="G98" s="71"/>
      <c r="H98" s="71"/>
      <c r="I98" s="71"/>
      <c r="J98" s="71"/>
      <c r="K98" s="72"/>
      <c r="L98" s="72"/>
      <c r="M98" s="72"/>
      <c r="N98" s="72"/>
      <c r="O98" s="72"/>
      <c r="P98" s="71"/>
      <c r="Q98" s="71"/>
      <c r="R98" s="72"/>
      <c r="S98" s="71"/>
      <c r="T98" s="71"/>
      <c r="U98" s="93"/>
      <c r="V98" s="93"/>
    </row>
    <row r="99" spans="1:30" s="215" customFormat="1" ht="14.25" customHeight="1">
      <c r="A99" s="71"/>
      <c r="B99" s="71"/>
      <c r="C99" s="80" t="s">
        <v>113</v>
      </c>
      <c r="D99" s="108">
        <f>D98/'Natural gas - emission calc.'!D85</f>
        <v>487.15206791595085</v>
      </c>
      <c r="E99" s="159" t="s">
        <v>1021</v>
      </c>
      <c r="F99" s="81"/>
      <c r="G99" s="71"/>
      <c r="H99" s="71"/>
      <c r="I99" s="71"/>
      <c r="J99" s="71"/>
      <c r="K99" s="72"/>
      <c r="L99" s="72"/>
      <c r="M99" s="72"/>
      <c r="N99" s="72"/>
      <c r="O99" s="72"/>
      <c r="P99" s="71"/>
      <c r="Q99" s="71"/>
      <c r="R99" s="72"/>
      <c r="S99" s="71"/>
      <c r="T99" s="71"/>
      <c r="U99" s="93"/>
      <c r="V99" s="93"/>
    </row>
    <row r="100" spans="1:30" s="215" customFormat="1" ht="14.25" customHeight="1">
      <c r="A100" s="71"/>
      <c r="B100" s="71"/>
      <c r="C100" s="80" t="s">
        <v>114</v>
      </c>
      <c r="D100" s="108">
        <f>D101+D102</f>
        <v>2683.5007728168366</v>
      </c>
      <c r="E100" s="88" t="s">
        <v>115</v>
      </c>
      <c r="F100" s="109" t="s">
        <v>121</v>
      </c>
      <c r="G100" s="71"/>
      <c r="H100" s="71"/>
      <c r="I100" s="71"/>
      <c r="J100" s="71"/>
      <c r="K100" s="72"/>
      <c r="L100" s="72"/>
      <c r="M100" s="72"/>
      <c r="N100" s="72"/>
      <c r="O100" s="72"/>
      <c r="P100" s="71"/>
      <c r="Q100" s="71"/>
      <c r="R100" s="72"/>
      <c r="S100" s="71"/>
      <c r="T100" s="71"/>
      <c r="U100" s="93"/>
      <c r="V100" s="93"/>
    </row>
    <row r="101" spans="1:30" s="215" customFormat="1" ht="14.25" customHeight="1">
      <c r="A101" s="71"/>
      <c r="B101" s="71"/>
      <c r="C101" s="80" t="s">
        <v>119</v>
      </c>
      <c r="D101" s="114">
        <f>D35</f>
        <v>0</v>
      </c>
      <c r="E101" s="88" t="s">
        <v>115</v>
      </c>
      <c r="F101" s="110">
        <f>D101/D$100</f>
        <v>0</v>
      </c>
      <c r="G101" s="71"/>
      <c r="H101" s="71"/>
      <c r="I101" s="71"/>
      <c r="J101" s="71"/>
      <c r="K101" s="72"/>
      <c r="L101" s="72"/>
      <c r="M101" s="72"/>
      <c r="N101" s="72"/>
      <c r="O101" s="72"/>
      <c r="P101" s="71"/>
      <c r="Q101" s="71"/>
      <c r="R101" s="72"/>
      <c r="S101" s="71"/>
      <c r="T101" s="71"/>
      <c r="U101" s="93"/>
      <c r="V101" s="93"/>
    </row>
    <row r="102" spans="1:30" ht="15.75" thickBot="1">
      <c r="A102" s="71"/>
      <c r="B102" s="71"/>
      <c r="C102" s="86" t="s">
        <v>120</v>
      </c>
      <c r="D102" s="618">
        <f>(D18-D20)/'Natural gas - emission calc.'!D85*'Natural gas - emission calc.'!D83/10^9</f>
        <v>2683.5007728168366</v>
      </c>
      <c r="E102" s="92" t="s">
        <v>115</v>
      </c>
      <c r="F102" s="111">
        <f>D102/D$100</f>
        <v>1</v>
      </c>
      <c r="G102" s="71"/>
      <c r="H102" s="71"/>
      <c r="I102" s="71"/>
      <c r="J102" s="71"/>
      <c r="K102" s="72"/>
      <c r="L102" s="72"/>
      <c r="M102" s="72"/>
      <c r="N102" s="72"/>
      <c r="O102" s="72"/>
      <c r="P102" s="72"/>
      <c r="Q102" s="71"/>
      <c r="R102" s="71"/>
      <c r="S102" s="71"/>
      <c r="T102" s="71"/>
    </row>
    <row r="104" spans="1:30" ht="27.75">
      <c r="A104" s="75"/>
      <c r="B104" s="140"/>
      <c r="C104" s="206" t="s">
        <v>1068</v>
      </c>
      <c r="D104" s="140"/>
      <c r="E104" s="140"/>
      <c r="F104" s="140"/>
      <c r="G104" s="140"/>
      <c r="H104" s="140"/>
      <c r="I104" s="140"/>
      <c r="J104" s="140"/>
      <c r="K104" s="140"/>
      <c r="L104" s="140"/>
      <c r="M104" s="140"/>
      <c r="N104" s="206"/>
      <c r="O104" s="140"/>
      <c r="P104" s="140"/>
      <c r="Q104" s="140"/>
      <c r="R104" s="75"/>
      <c r="S104" s="75"/>
      <c r="T104" s="75"/>
      <c r="U104" s="75"/>
      <c r="V104" s="75"/>
    </row>
    <row r="106" spans="1:30">
      <c r="B106" s="564" t="s">
        <v>186</v>
      </c>
      <c r="C106" s="564" t="s">
        <v>200</v>
      </c>
      <c r="P106" s="564" t="s">
        <v>215</v>
      </c>
      <c r="Q106" s="564" t="s">
        <v>216</v>
      </c>
      <c r="R106" s="564" t="s">
        <v>217</v>
      </c>
    </row>
    <row r="107" spans="1:30">
      <c r="C107" s="564" t="s">
        <v>199</v>
      </c>
      <c r="D107" s="564" t="s">
        <v>201</v>
      </c>
      <c r="E107" s="564" t="s">
        <v>202</v>
      </c>
      <c r="F107" s="564" t="s">
        <v>203</v>
      </c>
      <c r="P107" s="564">
        <v>2010</v>
      </c>
      <c r="Q107" s="565">
        <f t="shared" ref="Q107:Q117" si="0">R$107/R107</f>
        <v>1</v>
      </c>
      <c r="R107" s="564">
        <v>550.79999999999995</v>
      </c>
      <c r="T107" s="565"/>
      <c r="U107" s="565"/>
      <c r="V107" s="565"/>
      <c r="W107" s="565"/>
      <c r="X107" s="565"/>
      <c r="Y107" s="565"/>
      <c r="Z107" s="565"/>
      <c r="AA107" s="565"/>
      <c r="AB107" s="565"/>
      <c r="AC107" s="565"/>
      <c r="AD107" s="565"/>
    </row>
    <row r="108" spans="1:30">
      <c r="B108" s="564" t="s">
        <v>195</v>
      </c>
      <c r="C108" s="564" t="s">
        <v>194</v>
      </c>
      <c r="D108" s="10">
        <v>1.2</v>
      </c>
      <c r="E108" s="564">
        <v>2006</v>
      </c>
      <c r="F108" s="564" t="s">
        <v>192</v>
      </c>
      <c r="G108" s="565"/>
      <c r="P108" s="564">
        <f t="shared" ref="P108:P116" si="1">P107-1</f>
        <v>2009</v>
      </c>
      <c r="Q108" s="565">
        <f t="shared" si="0"/>
        <v>1.0553745928338762</v>
      </c>
      <c r="R108" s="564">
        <v>521.9</v>
      </c>
    </row>
    <row r="109" spans="1:30">
      <c r="B109" s="564" t="s">
        <v>196</v>
      </c>
      <c r="C109" s="564" t="s">
        <v>193</v>
      </c>
      <c r="D109" s="10">
        <v>1.36</v>
      </c>
      <c r="E109" s="564">
        <v>2007</v>
      </c>
      <c r="F109" s="564" t="s">
        <v>191</v>
      </c>
      <c r="G109" s="565"/>
      <c r="P109" s="564">
        <f t="shared" si="1"/>
        <v>2008</v>
      </c>
      <c r="Q109" s="565">
        <f t="shared" si="0"/>
        <v>0.95724713242961412</v>
      </c>
      <c r="R109" s="564">
        <v>575.4</v>
      </c>
      <c r="U109" s="565"/>
    </row>
    <row r="110" spans="1:30">
      <c r="P110" s="564">
        <f t="shared" si="1"/>
        <v>2007</v>
      </c>
      <c r="Q110" s="565">
        <f t="shared" si="0"/>
        <v>1.048344118766654</v>
      </c>
      <c r="R110" s="564">
        <v>525.4</v>
      </c>
      <c r="U110" s="565"/>
    </row>
    <row r="111" spans="1:30">
      <c r="B111" s="564" t="s">
        <v>205</v>
      </c>
      <c r="C111" s="12">
        <v>0.4</v>
      </c>
      <c r="D111" s="564" t="s">
        <v>206</v>
      </c>
      <c r="P111" s="564">
        <f t="shared" si="1"/>
        <v>2006</v>
      </c>
      <c r="Q111" s="565">
        <f t="shared" si="0"/>
        <v>1.1024819855884707</v>
      </c>
      <c r="R111" s="564">
        <v>499.6</v>
      </c>
      <c r="U111" s="565"/>
    </row>
    <row r="112" spans="1:30">
      <c r="P112" s="564">
        <f t="shared" si="1"/>
        <v>2005</v>
      </c>
      <c r="Q112" s="565">
        <f t="shared" si="0"/>
        <v>1.176420333190944</v>
      </c>
      <c r="R112" s="564">
        <v>468.2</v>
      </c>
      <c r="U112" s="565"/>
    </row>
    <row r="113" spans="2:21" ht="15.75" thickBot="1">
      <c r="P113" s="564">
        <f t="shared" si="1"/>
        <v>2004</v>
      </c>
      <c r="Q113" s="565">
        <f t="shared" si="0"/>
        <v>1.2399819900945519</v>
      </c>
      <c r="R113" s="564">
        <v>444.2</v>
      </c>
      <c r="U113" s="565"/>
    </row>
    <row r="114" spans="2:21">
      <c r="B114" s="23"/>
      <c r="C114" s="55"/>
      <c r="D114" s="1094" t="s">
        <v>189</v>
      </c>
      <c r="E114" s="1095"/>
      <c r="F114" s="1096" t="s">
        <v>190</v>
      </c>
      <c r="G114" s="1097"/>
      <c r="H114" s="28"/>
      <c r="I114" s="1098" t="s">
        <v>198</v>
      </c>
      <c r="J114" s="1098"/>
      <c r="K114" s="1098"/>
      <c r="L114" s="1098"/>
      <c r="M114" s="1098"/>
      <c r="N114" s="1099"/>
      <c r="P114" s="564">
        <f t="shared" si="1"/>
        <v>2003</v>
      </c>
      <c r="Q114" s="565">
        <f t="shared" si="0"/>
        <v>1.3711725168035847</v>
      </c>
      <c r="R114" s="564">
        <v>401.7</v>
      </c>
      <c r="U114" s="565"/>
    </row>
    <row r="115" spans="2:21">
      <c r="B115" s="24"/>
      <c r="C115" s="44"/>
      <c r="D115" s="41" t="s">
        <v>143</v>
      </c>
      <c r="E115" s="17" t="s">
        <v>144</v>
      </c>
      <c r="F115" s="47" t="s">
        <v>143</v>
      </c>
      <c r="G115" s="13" t="s">
        <v>144</v>
      </c>
      <c r="H115" s="29" t="s">
        <v>197</v>
      </c>
      <c r="I115" s="29" t="s">
        <v>143</v>
      </c>
      <c r="J115" s="29" t="s">
        <v>144</v>
      </c>
      <c r="K115" s="29" t="s">
        <v>145</v>
      </c>
      <c r="L115" s="29" t="s">
        <v>209</v>
      </c>
      <c r="M115" s="29" t="s">
        <v>214</v>
      </c>
      <c r="N115" s="30" t="s">
        <v>221</v>
      </c>
      <c r="P115" s="564">
        <f t="shared" si="1"/>
        <v>2002</v>
      </c>
      <c r="Q115" s="565">
        <f t="shared" si="0"/>
        <v>1.3923154701718905</v>
      </c>
      <c r="R115" s="564">
        <v>395.6</v>
      </c>
      <c r="U115" s="565"/>
    </row>
    <row r="116" spans="2:21">
      <c r="B116" s="6" t="s">
        <v>187</v>
      </c>
      <c r="C116" s="45" t="s">
        <v>188</v>
      </c>
      <c r="D116" s="42">
        <f>I116*$D$109*$Q110</f>
        <v>28.514960030452993</v>
      </c>
      <c r="E116" s="21">
        <f>J116*$D$109*$Q110</f>
        <v>28.514960030452993</v>
      </c>
      <c r="F116" s="48">
        <f>D116*$C$111</f>
        <v>11.405984012181198</v>
      </c>
      <c r="G116" s="22">
        <f>E116*$C$111</f>
        <v>11.405984012181198</v>
      </c>
      <c r="H116" s="31" t="s">
        <v>204</v>
      </c>
      <c r="I116" s="31">
        <v>20</v>
      </c>
      <c r="J116" s="31">
        <v>20</v>
      </c>
      <c r="K116" s="31" t="s">
        <v>210</v>
      </c>
      <c r="L116" s="31" t="s">
        <v>191</v>
      </c>
      <c r="M116" s="31">
        <v>2007</v>
      </c>
      <c r="N116" s="32"/>
      <c r="P116" s="564">
        <f t="shared" si="1"/>
        <v>2001</v>
      </c>
      <c r="Q116" s="565">
        <f t="shared" si="0"/>
        <v>1.396905909206188</v>
      </c>
      <c r="R116" s="564">
        <v>394.3</v>
      </c>
      <c r="U116" s="565"/>
    </row>
    <row r="117" spans="2:21">
      <c r="B117" s="1" t="s">
        <v>207</v>
      </c>
      <c r="C117" s="19" t="s">
        <v>208</v>
      </c>
      <c r="D117" s="9">
        <f>F117*$C111</f>
        <v>2.3528406663818879</v>
      </c>
      <c r="E117" s="18">
        <f>G117*$C111</f>
        <v>2.3528406663818879</v>
      </c>
      <c r="F117" s="39">
        <f>I117*$Q112</f>
        <v>5.8821016659547194</v>
      </c>
      <c r="G117" s="14">
        <f>J117*$Q112</f>
        <v>5.8821016659547194</v>
      </c>
      <c r="H117" s="33" t="s">
        <v>213</v>
      </c>
      <c r="I117" s="33">
        <v>5</v>
      </c>
      <c r="J117" s="33">
        <v>5</v>
      </c>
      <c r="K117" s="33" t="s">
        <v>211</v>
      </c>
      <c r="L117" s="33" t="s">
        <v>212</v>
      </c>
      <c r="M117" s="33">
        <v>2005</v>
      </c>
      <c r="N117" s="34"/>
      <c r="P117" s="564">
        <v>2000</v>
      </c>
      <c r="Q117" s="565">
        <f t="shared" si="0"/>
        <v>1.3976148185739659</v>
      </c>
      <c r="R117" s="564">
        <v>394.1</v>
      </c>
      <c r="U117" s="565"/>
    </row>
    <row r="118" spans="2:21">
      <c r="B118" s="1" t="s">
        <v>207</v>
      </c>
      <c r="C118" s="19" t="s">
        <v>218</v>
      </c>
      <c r="D118" s="9">
        <f>I118/$D108</f>
        <v>5.8333333333333339</v>
      </c>
      <c r="E118" s="18">
        <f>J118/$D108</f>
        <v>20.833333333333336</v>
      </c>
      <c r="F118" s="39">
        <f>D118*$C111</f>
        <v>2.3333333333333335</v>
      </c>
      <c r="G118" s="14">
        <f>E118*$C111</f>
        <v>8.3333333333333339</v>
      </c>
      <c r="H118" s="33"/>
      <c r="I118" s="33">
        <v>7</v>
      </c>
      <c r="J118" s="33">
        <v>25</v>
      </c>
      <c r="K118" s="33" t="s">
        <v>219</v>
      </c>
      <c r="L118" s="33" t="s">
        <v>191</v>
      </c>
      <c r="M118" s="33"/>
      <c r="N118" s="34" t="s">
        <v>222</v>
      </c>
      <c r="U118" s="565"/>
    </row>
    <row r="119" spans="2:21">
      <c r="B119" s="1" t="s">
        <v>207</v>
      </c>
      <c r="C119" s="19" t="s">
        <v>218</v>
      </c>
      <c r="D119" s="9">
        <f>I119/$D108</f>
        <v>5.8333333333333339</v>
      </c>
      <c r="E119" s="18">
        <f>J119/$D108</f>
        <v>30</v>
      </c>
      <c r="F119" s="39">
        <f>D119*$C111</f>
        <v>2.3333333333333335</v>
      </c>
      <c r="G119" s="14">
        <f>E119*$C111</f>
        <v>12</v>
      </c>
      <c r="H119" s="33"/>
      <c r="I119" s="33">
        <v>7</v>
      </c>
      <c r="J119" s="33">
        <v>36</v>
      </c>
      <c r="K119" s="33" t="s">
        <v>219</v>
      </c>
      <c r="L119" s="33" t="s">
        <v>192</v>
      </c>
      <c r="M119" s="33"/>
      <c r="N119" s="34" t="s">
        <v>222</v>
      </c>
      <c r="U119" s="565"/>
    </row>
    <row r="120" spans="2:21">
      <c r="B120" s="25" t="s">
        <v>207</v>
      </c>
      <c r="C120" s="46" t="s">
        <v>218</v>
      </c>
      <c r="D120" s="43">
        <f>I120/$D108*$Q114</f>
        <v>17.139656460044808</v>
      </c>
      <c r="E120" s="20">
        <f>J120/$D108*$Q114</f>
        <v>17.139656460044808</v>
      </c>
      <c r="F120" s="49">
        <f>D120*$C111</f>
        <v>6.8558625840179239</v>
      </c>
      <c r="G120" s="16">
        <f>E120*$C111</f>
        <v>6.8558625840179239</v>
      </c>
      <c r="H120" s="35" t="s">
        <v>223</v>
      </c>
      <c r="I120" s="35">
        <v>15</v>
      </c>
      <c r="J120" s="35">
        <v>15</v>
      </c>
      <c r="K120" s="35" t="s">
        <v>219</v>
      </c>
      <c r="L120" s="35" t="s">
        <v>220</v>
      </c>
      <c r="M120" s="35">
        <v>2003</v>
      </c>
      <c r="N120" s="36"/>
    </row>
    <row r="121" spans="2:21">
      <c r="B121" s="1"/>
      <c r="C121" s="19"/>
      <c r="D121" s="402"/>
      <c r="E121" s="19"/>
      <c r="F121" s="8"/>
      <c r="G121" s="15"/>
      <c r="H121" s="33"/>
      <c r="I121" s="33"/>
      <c r="J121" s="33"/>
      <c r="K121" s="33"/>
      <c r="L121" s="33"/>
      <c r="M121" s="33"/>
      <c r="N121" s="34"/>
    </row>
    <row r="122" spans="2:21">
      <c r="B122" s="6" t="s">
        <v>187</v>
      </c>
      <c r="C122" s="45" t="s">
        <v>139</v>
      </c>
      <c r="D122" s="42">
        <f>I122*$D$109*$Q$110</f>
        <v>114.05984012181197</v>
      </c>
      <c r="E122" s="21">
        <f>J122*$D$109*$Q$110</f>
        <v>185.34724019794444</v>
      </c>
      <c r="F122" s="48">
        <f t="shared" ref="F122:G125" si="2">D122*$C$111</f>
        <v>45.623936048724794</v>
      </c>
      <c r="G122" s="22">
        <f t="shared" si="2"/>
        <v>74.138896079177783</v>
      </c>
      <c r="H122" s="31" t="s">
        <v>225</v>
      </c>
      <c r="I122" s="31">
        <v>80</v>
      </c>
      <c r="J122" s="31">
        <v>130</v>
      </c>
      <c r="K122" s="31" t="s">
        <v>210</v>
      </c>
      <c r="L122" s="31" t="s">
        <v>192</v>
      </c>
      <c r="M122" s="31">
        <v>2007</v>
      </c>
      <c r="N122" s="32"/>
    </row>
    <row r="123" spans="2:21">
      <c r="B123" s="1" t="s">
        <v>187</v>
      </c>
      <c r="C123" s="19" t="s">
        <v>139</v>
      </c>
      <c r="D123" s="9">
        <f>I123*$D$109*$Q$110</f>
        <v>285.14960030452988</v>
      </c>
      <c r="E123" s="18">
        <f>J123*$D$109*$Q$110</f>
        <v>299.4070803197564</v>
      </c>
      <c r="F123" s="39">
        <f t="shared" si="2"/>
        <v>114.05984012181196</v>
      </c>
      <c r="G123" s="14">
        <f t="shared" si="2"/>
        <v>119.76283212790257</v>
      </c>
      <c r="H123" s="33" t="s">
        <v>225</v>
      </c>
      <c r="I123" s="33">
        <v>200</v>
      </c>
      <c r="J123" s="33">
        <v>210</v>
      </c>
      <c r="K123" s="33" t="s">
        <v>210</v>
      </c>
      <c r="L123" s="33" t="s">
        <v>192</v>
      </c>
      <c r="M123" s="33">
        <v>2007</v>
      </c>
      <c r="N123" s="34" t="s">
        <v>224</v>
      </c>
    </row>
    <row r="124" spans="2:21">
      <c r="B124" s="1" t="s">
        <v>187</v>
      </c>
      <c r="C124" s="19" t="s">
        <v>139</v>
      </c>
      <c r="D124" s="9">
        <f>I124/$Q110</f>
        <v>47.694262890341321</v>
      </c>
      <c r="E124" s="18">
        <f>J124*$Q110</f>
        <v>52.4172059383327</v>
      </c>
      <c r="F124" s="39">
        <f t="shared" si="2"/>
        <v>19.077705156136528</v>
      </c>
      <c r="G124" s="14">
        <f t="shared" si="2"/>
        <v>20.966882375333082</v>
      </c>
      <c r="H124" s="33" t="s">
        <v>225</v>
      </c>
      <c r="I124" s="33">
        <v>50</v>
      </c>
      <c r="J124" s="33">
        <v>50</v>
      </c>
      <c r="K124" s="33" t="s">
        <v>226</v>
      </c>
      <c r="L124" s="33" t="s">
        <v>227</v>
      </c>
      <c r="M124" s="33">
        <v>2007</v>
      </c>
      <c r="N124" s="34"/>
    </row>
    <row r="125" spans="2:21">
      <c r="B125" s="1" t="s">
        <v>187</v>
      </c>
      <c r="C125" s="19" t="s">
        <v>139</v>
      </c>
      <c r="D125" s="9">
        <f>I125*$D$109*$Q$110</f>
        <v>85.544880091358976</v>
      </c>
      <c r="E125" s="18">
        <f>J125*$D$109*$Q$110</f>
        <v>114.05984012181197</v>
      </c>
      <c r="F125" s="39">
        <f t="shared" si="2"/>
        <v>34.217952036543593</v>
      </c>
      <c r="G125" s="14">
        <f t="shared" si="2"/>
        <v>45.623936048724794</v>
      </c>
      <c r="H125" s="33" t="s">
        <v>204</v>
      </c>
      <c r="I125" s="33">
        <v>60</v>
      </c>
      <c r="J125" s="33">
        <v>80</v>
      </c>
      <c r="K125" s="33" t="s">
        <v>210</v>
      </c>
      <c r="L125" s="33" t="s">
        <v>191</v>
      </c>
      <c r="M125" s="33">
        <v>2007</v>
      </c>
      <c r="N125" s="34" t="s">
        <v>228</v>
      </c>
    </row>
    <row r="126" spans="2:21">
      <c r="B126" s="1" t="s">
        <v>207</v>
      </c>
      <c r="C126" s="19" t="s">
        <v>139</v>
      </c>
      <c r="D126" s="9">
        <f>F126/$C111</f>
        <v>147.05254164886799</v>
      </c>
      <c r="E126" s="18">
        <f>G126/$C111</f>
        <v>205.8735583084152</v>
      </c>
      <c r="F126" s="39">
        <f>I126*$Q112</f>
        <v>58.821016659547197</v>
      </c>
      <c r="G126" s="14">
        <f>J126*$Q112</f>
        <v>82.349423323366082</v>
      </c>
      <c r="H126" s="33" t="s">
        <v>213</v>
      </c>
      <c r="I126" s="33">
        <v>50</v>
      </c>
      <c r="J126" s="33">
        <v>70</v>
      </c>
      <c r="K126" s="33" t="s">
        <v>211</v>
      </c>
      <c r="L126" s="33" t="s">
        <v>212</v>
      </c>
      <c r="M126" s="33">
        <v>2005</v>
      </c>
      <c r="N126" s="34"/>
    </row>
    <row r="127" spans="2:21">
      <c r="B127" s="1" t="s">
        <v>207</v>
      </c>
      <c r="C127" s="19" t="s">
        <v>139</v>
      </c>
      <c r="D127" s="9">
        <f t="shared" ref="D127:E129" si="3">I127/$D$108*$Q$111</f>
        <v>50.530424339471573</v>
      </c>
      <c r="E127" s="18">
        <f t="shared" si="3"/>
        <v>128.6228983186549</v>
      </c>
      <c r="F127" s="39">
        <f t="shared" ref="F127:G132" si="4">D127*$C$111</f>
        <v>20.212169735788631</v>
      </c>
      <c r="G127" s="14">
        <f t="shared" si="4"/>
        <v>51.449159327461963</v>
      </c>
      <c r="H127" s="33"/>
      <c r="I127" s="33">
        <v>55</v>
      </c>
      <c r="J127" s="33">
        <v>140</v>
      </c>
      <c r="K127" s="33" t="s">
        <v>219</v>
      </c>
      <c r="L127" s="33" t="s">
        <v>192</v>
      </c>
      <c r="M127" s="33"/>
      <c r="N127" s="34"/>
    </row>
    <row r="128" spans="2:21">
      <c r="B128" s="1" t="s">
        <v>207</v>
      </c>
      <c r="C128" s="19" t="s">
        <v>139</v>
      </c>
      <c r="D128" s="9">
        <f t="shared" si="3"/>
        <v>41.343074459567653</v>
      </c>
      <c r="E128" s="18">
        <f t="shared" si="3"/>
        <v>82.686148919135306</v>
      </c>
      <c r="F128" s="39">
        <f t="shared" si="4"/>
        <v>16.537229783827062</v>
      </c>
      <c r="G128" s="14">
        <f t="shared" si="4"/>
        <v>33.074459567654124</v>
      </c>
      <c r="H128" s="33"/>
      <c r="I128" s="33">
        <v>45</v>
      </c>
      <c r="J128" s="33">
        <v>90</v>
      </c>
      <c r="K128" s="33" t="s">
        <v>219</v>
      </c>
      <c r="L128" s="33" t="s">
        <v>191</v>
      </c>
      <c r="M128" s="33"/>
      <c r="N128" s="34"/>
    </row>
    <row r="129" spans="2:14">
      <c r="B129" s="1" t="s">
        <v>207</v>
      </c>
      <c r="C129" s="19" t="s">
        <v>139</v>
      </c>
      <c r="D129" s="9">
        <f t="shared" si="3"/>
        <v>91.873498799039226</v>
      </c>
      <c r="E129" s="18">
        <f t="shared" si="3"/>
        <v>91.873498799039226</v>
      </c>
      <c r="F129" s="39">
        <f t="shared" si="4"/>
        <v>36.749399519615693</v>
      </c>
      <c r="G129" s="14">
        <f t="shared" si="4"/>
        <v>36.749399519615693</v>
      </c>
      <c r="H129" s="33"/>
      <c r="I129" s="33">
        <v>100</v>
      </c>
      <c r="J129" s="33">
        <v>100</v>
      </c>
      <c r="K129" s="33" t="s">
        <v>219</v>
      </c>
      <c r="L129" s="33" t="s">
        <v>192</v>
      </c>
      <c r="M129" s="33"/>
      <c r="N129" s="34"/>
    </row>
    <row r="130" spans="2:14">
      <c r="B130" s="1" t="s">
        <v>207</v>
      </c>
      <c r="C130" s="19" t="s">
        <v>139</v>
      </c>
      <c r="D130" s="9">
        <f>I130/$D108*$Q114</f>
        <v>79.985063480209107</v>
      </c>
      <c r="E130" s="18">
        <f>J130/$D108*$Q114</f>
        <v>182.82300224047796</v>
      </c>
      <c r="F130" s="39">
        <f t="shared" si="4"/>
        <v>31.994025392083643</v>
      </c>
      <c r="G130" s="14">
        <f t="shared" si="4"/>
        <v>73.129200896191193</v>
      </c>
      <c r="H130" s="33" t="s">
        <v>233</v>
      </c>
      <c r="I130" s="33">
        <v>70</v>
      </c>
      <c r="J130" s="33">
        <v>160</v>
      </c>
      <c r="K130" s="33" t="s">
        <v>219</v>
      </c>
      <c r="L130" s="33" t="s">
        <v>192</v>
      </c>
      <c r="M130" s="33">
        <v>2003</v>
      </c>
      <c r="N130" s="34" t="s">
        <v>231</v>
      </c>
    </row>
    <row r="131" spans="2:14">
      <c r="B131" s="1" t="s">
        <v>207</v>
      </c>
      <c r="C131" s="19" t="s">
        <v>139</v>
      </c>
      <c r="D131" s="9">
        <f>I131/$D108*$Q116</f>
        <v>58.204412883591175</v>
      </c>
      <c r="E131" s="18">
        <f>J131/$D108*$Q116</f>
        <v>128.04970834390056</v>
      </c>
      <c r="F131" s="39">
        <f t="shared" si="4"/>
        <v>23.281765153436471</v>
      </c>
      <c r="G131" s="14">
        <f t="shared" si="4"/>
        <v>51.219883337560226</v>
      </c>
      <c r="H131" s="33" t="s">
        <v>230</v>
      </c>
      <c r="I131" s="33">
        <v>50</v>
      </c>
      <c r="J131" s="33">
        <v>110</v>
      </c>
      <c r="K131" s="33" t="s">
        <v>219</v>
      </c>
      <c r="L131" s="33" t="s">
        <v>192</v>
      </c>
      <c r="M131" s="33">
        <v>2001</v>
      </c>
      <c r="N131" s="34" t="s">
        <v>229</v>
      </c>
    </row>
    <row r="132" spans="2:14">
      <c r="B132" s="1" t="s">
        <v>207</v>
      </c>
      <c r="C132" s="19" t="s">
        <v>139</v>
      </c>
      <c r="D132" s="9">
        <f>I132/$D108*$Q113</f>
        <v>82.665466006303461</v>
      </c>
      <c r="E132" s="18">
        <f>J132/$D108*$Q113</f>
        <v>123.99819900945519</v>
      </c>
      <c r="F132" s="39">
        <f t="shared" si="4"/>
        <v>33.066186402521389</v>
      </c>
      <c r="G132" s="14">
        <f t="shared" si="4"/>
        <v>49.59927960378208</v>
      </c>
      <c r="H132" s="33" t="s">
        <v>232</v>
      </c>
      <c r="I132" s="33">
        <v>80</v>
      </c>
      <c r="J132" s="33">
        <v>120</v>
      </c>
      <c r="K132" s="33" t="s">
        <v>219</v>
      </c>
      <c r="L132" s="33" t="s">
        <v>192</v>
      </c>
      <c r="M132" s="33">
        <v>2004</v>
      </c>
      <c r="N132" s="34"/>
    </row>
    <row r="133" spans="2:14">
      <c r="B133" s="56"/>
      <c r="C133" s="52"/>
      <c r="D133" s="53"/>
      <c r="E133" s="52"/>
      <c r="F133" s="53"/>
      <c r="G133" s="52"/>
      <c r="H133" s="54"/>
      <c r="I133" s="54"/>
      <c r="J133" s="54"/>
      <c r="K133" s="54"/>
      <c r="L133" s="54"/>
      <c r="M133" s="54"/>
      <c r="N133" s="57"/>
    </row>
    <row r="134" spans="2:14">
      <c r="B134" s="1" t="s">
        <v>207</v>
      </c>
      <c r="C134" s="19" t="s">
        <v>43</v>
      </c>
      <c r="D134" s="40">
        <f>F134*$C$111</f>
        <v>7.0585219991456647</v>
      </c>
      <c r="E134" s="50">
        <f>G134*$C$111</f>
        <v>14.117043998291329</v>
      </c>
      <c r="F134" s="38">
        <f>I134*Q112</f>
        <v>17.64630499786416</v>
      </c>
      <c r="G134" s="51">
        <f>J134*Q112</f>
        <v>35.29260999572832</v>
      </c>
      <c r="H134" s="33" t="s">
        <v>213</v>
      </c>
      <c r="I134" s="33">
        <v>15</v>
      </c>
      <c r="J134" s="33">
        <v>30</v>
      </c>
      <c r="K134" s="33" t="s">
        <v>211</v>
      </c>
      <c r="L134" s="33" t="s">
        <v>212</v>
      </c>
      <c r="M134" s="33">
        <v>2005</v>
      </c>
      <c r="N134" s="34"/>
    </row>
    <row r="135" spans="2:14" ht="15.75" thickBot="1">
      <c r="B135" s="5" t="s">
        <v>238</v>
      </c>
      <c r="C135" s="58" t="s">
        <v>43</v>
      </c>
      <c r="D135" s="59">
        <f>F135*$C$111</f>
        <v>2.0385971798752145</v>
      </c>
      <c r="E135" s="60">
        <f>G135*$C$111</f>
        <v>2.0385971798752145</v>
      </c>
      <c r="F135" s="61">
        <f>F116-C137</f>
        <v>5.0964929496880362</v>
      </c>
      <c r="G135" s="26">
        <f>G116-C137</f>
        <v>5.0964929496880362</v>
      </c>
      <c r="H135" s="37" t="s">
        <v>239</v>
      </c>
      <c r="I135" s="7"/>
      <c r="J135" s="7"/>
      <c r="K135" s="7"/>
      <c r="L135" s="7"/>
      <c r="M135" s="7"/>
      <c r="N135" s="27"/>
    </row>
    <row r="136" spans="2:14" ht="15.75" thickBot="1">
      <c r="F136" s="184" t="s">
        <v>301</v>
      </c>
      <c r="G136" s="185" t="s">
        <v>302</v>
      </c>
    </row>
    <row r="137" spans="2:14">
      <c r="B137" s="62" t="s">
        <v>234</v>
      </c>
      <c r="C137" s="63">
        <f>AVERAGE(F117:G120)</f>
        <v>6.3094910624931622</v>
      </c>
      <c r="D137" s="64" t="s">
        <v>211</v>
      </c>
      <c r="E137" s="63" t="s">
        <v>236</v>
      </c>
      <c r="F137" s="180">
        <f>AVERAGE(F117:F120)</f>
        <v>4.3511577291598282</v>
      </c>
      <c r="G137" s="181">
        <f>AVERAGE(G117:G120)</f>
        <v>8.2678243958264943</v>
      </c>
    </row>
    <row r="138" spans="2:14">
      <c r="B138" s="65" t="s">
        <v>235</v>
      </c>
      <c r="C138" s="66">
        <f>AVERAGE(F122:G132)</f>
        <v>48.713844464400296</v>
      </c>
      <c r="D138" s="67" t="s">
        <v>211</v>
      </c>
      <c r="E138" s="66" t="s">
        <v>236</v>
      </c>
      <c r="F138" s="180">
        <f>AVERAGE(F122,F124:F132)</f>
        <v>31.9581385888225</v>
      </c>
      <c r="G138" s="181">
        <f>AVERAGE(G122:G125,G127:G132)</f>
        <v>55.571392888340355</v>
      </c>
    </row>
    <row r="139" spans="2:14" ht="15.75" thickBot="1">
      <c r="B139" s="68" t="s">
        <v>237</v>
      </c>
      <c r="C139" s="69">
        <f>AVERAGE(F134:G135)</f>
        <v>15.782975223242136</v>
      </c>
      <c r="D139" s="70" t="s">
        <v>211</v>
      </c>
      <c r="E139" s="69" t="s">
        <v>236</v>
      </c>
      <c r="F139" s="182">
        <f>AVERAGE(F134:F135)</f>
        <v>11.371398973776099</v>
      </c>
      <c r="G139" s="183">
        <f>AVERAGE(G134:G135)</f>
        <v>20.194551472708177</v>
      </c>
    </row>
    <row r="141" spans="2:14" ht="15.75" thickBot="1"/>
    <row r="142" spans="2:14">
      <c r="B142" s="1085" t="s">
        <v>311</v>
      </c>
      <c r="C142" s="1086"/>
      <c r="D142" s="1086"/>
      <c r="E142" s="1086"/>
      <c r="F142" s="1087"/>
    </row>
    <row r="143" spans="2:14">
      <c r="B143" s="197"/>
      <c r="C143" s="198" t="s">
        <v>312</v>
      </c>
      <c r="D143" s="198" t="s">
        <v>313</v>
      </c>
      <c r="E143" s="198" t="s">
        <v>316</v>
      </c>
      <c r="F143" s="199" t="s">
        <v>317</v>
      </c>
    </row>
    <row r="144" spans="2:14">
      <c r="B144" s="1"/>
      <c r="C144" s="402" t="s">
        <v>314</v>
      </c>
      <c r="D144" s="402" t="s">
        <v>315</v>
      </c>
      <c r="E144" s="402" t="s">
        <v>87</v>
      </c>
      <c r="F144" s="433" t="s">
        <v>264</v>
      </c>
    </row>
    <row r="145" spans="2:6">
      <c r="B145" s="1" t="s">
        <v>218</v>
      </c>
      <c r="C145" s="402">
        <v>780</v>
      </c>
      <c r="D145" s="402">
        <v>2.15</v>
      </c>
      <c r="E145" s="402">
        <v>0</v>
      </c>
      <c r="F145" s="200">
        <f>Q117</f>
        <v>1.3976148185739659</v>
      </c>
    </row>
    <row r="146" spans="2:6" ht="15.75" thickBot="1">
      <c r="B146" s="5" t="s">
        <v>139</v>
      </c>
      <c r="C146" s="4">
        <v>5000</v>
      </c>
      <c r="D146" s="4">
        <v>6.28</v>
      </c>
      <c r="E146" s="201">
        <v>0.4</v>
      </c>
      <c r="F146" s="202">
        <f>F145</f>
        <v>1.3976148185739659</v>
      </c>
    </row>
  </sheetData>
  <mergeCells count="33">
    <mergeCell ref="N12:O16"/>
    <mergeCell ref="C17:E17"/>
    <mergeCell ref="C34:E34"/>
    <mergeCell ref="C45:E45"/>
    <mergeCell ref="C48:E48"/>
    <mergeCell ref="C24:E24"/>
    <mergeCell ref="C4:E4"/>
    <mergeCell ref="C9:E9"/>
    <mergeCell ref="N9:O9"/>
    <mergeCell ref="Q9:S9"/>
    <mergeCell ref="N10:O10"/>
    <mergeCell ref="Q10:S10"/>
    <mergeCell ref="C78:E78"/>
    <mergeCell ref="C52:E52"/>
    <mergeCell ref="O68:R68"/>
    <mergeCell ref="C71:E71"/>
    <mergeCell ref="N71:P71"/>
    <mergeCell ref="N72:P72"/>
    <mergeCell ref="P73:P75"/>
    <mergeCell ref="C74:E74"/>
    <mergeCell ref="N54:O54"/>
    <mergeCell ref="F56:F62"/>
    <mergeCell ref="N57:P57"/>
    <mergeCell ref="N62:R62"/>
    <mergeCell ref="O64:P64"/>
    <mergeCell ref="N52:R53"/>
    <mergeCell ref="B142:F142"/>
    <mergeCell ref="N82:P82"/>
    <mergeCell ref="F83:F89"/>
    <mergeCell ref="C97:F97"/>
    <mergeCell ref="D114:E114"/>
    <mergeCell ref="F114:G114"/>
    <mergeCell ref="I114:N114"/>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dimension ref="A2:V148"/>
  <sheetViews>
    <sheetView topLeftCell="A97" workbookViewId="0">
      <selection activeCell="K87" sqref="K87"/>
    </sheetView>
  </sheetViews>
  <sheetFormatPr baseColWidth="10" defaultRowHeight="15"/>
  <cols>
    <col min="1" max="1" width="3.85546875" customWidth="1"/>
    <col min="2" max="2" width="5" customWidth="1"/>
    <col min="3" max="3" width="44.7109375" customWidth="1"/>
    <col min="4" max="4" width="21.42578125" customWidth="1"/>
    <col min="5" max="5" width="23.140625" customWidth="1"/>
    <col min="6" max="6" width="15.5703125" bestFit="1" customWidth="1"/>
    <col min="7" max="7" width="10" bestFit="1" customWidth="1"/>
    <col min="8" max="8" width="4.28515625" customWidth="1"/>
    <col min="14" max="14" width="36.42578125" customWidth="1"/>
    <col min="15" max="15" width="41.7109375" customWidth="1"/>
    <col min="16" max="16" width="19.28515625" customWidth="1"/>
    <col min="18" max="18" width="27" bestFit="1" customWidth="1"/>
    <col min="19" max="19" width="27.85546875" bestFit="1" customWidth="1"/>
  </cols>
  <sheetData>
    <row r="2" spans="1:22" s="351" customFormat="1" ht="27.75">
      <c r="A2" s="75"/>
      <c r="B2" s="75"/>
      <c r="C2" s="206" t="s">
        <v>692</v>
      </c>
      <c r="D2" s="140"/>
      <c r="E2" s="140"/>
      <c r="F2" s="140"/>
      <c r="G2" s="140"/>
      <c r="H2" s="140"/>
      <c r="I2" s="140"/>
      <c r="J2" s="140"/>
      <c r="K2" s="140"/>
      <c r="L2" s="140"/>
      <c r="M2" s="140"/>
      <c r="N2" s="206" t="str">
        <f>C2&amp;" - Reference Boxes"</f>
        <v>Bottom up approach to define total filtration area - Reference Boxes</v>
      </c>
      <c r="O2" s="140"/>
      <c r="P2" s="140"/>
      <c r="Q2" s="140"/>
      <c r="R2" s="75"/>
      <c r="S2" s="76"/>
      <c r="T2" s="75"/>
      <c r="U2" s="75"/>
      <c r="V2" s="75"/>
    </row>
    <row r="3" spans="1:22" s="564" customFormat="1" ht="15.75" thickBot="1"/>
    <row r="4" spans="1:22" s="564" customFormat="1">
      <c r="N4" s="1050" t="s">
        <v>982</v>
      </c>
      <c r="O4" s="1052"/>
    </row>
    <row r="5" spans="1:22" s="564" customFormat="1">
      <c r="N5" s="80" t="s">
        <v>983</v>
      </c>
      <c r="O5" s="433"/>
      <c r="P5" s="564" t="s">
        <v>819</v>
      </c>
    </row>
    <row r="6" spans="1:22" s="564" customFormat="1" ht="15.75" thickBot="1">
      <c r="N6" s="605" t="s">
        <v>984</v>
      </c>
      <c r="O6" s="433"/>
    </row>
    <row r="7" spans="1:22" ht="15.75" thickBot="1">
      <c r="A7" s="564"/>
      <c r="C7" s="602" t="s">
        <v>981</v>
      </c>
      <c r="D7" s="603"/>
      <c r="E7" s="301"/>
      <c r="N7" s="86"/>
      <c r="O7" s="432"/>
    </row>
    <row r="8" spans="1:22" s="505" customFormat="1" ht="15.75" customHeight="1" thickBot="1">
      <c r="A8" s="564"/>
      <c r="C8" s="80" t="s">
        <v>830</v>
      </c>
      <c r="D8" s="600">
        <v>-1</v>
      </c>
      <c r="E8" s="81" t="s">
        <v>831</v>
      </c>
    </row>
    <row r="9" spans="1:22" s="505" customFormat="1" ht="15.75" customHeight="1" thickBot="1">
      <c r="A9" s="564"/>
      <c r="C9" s="86" t="s">
        <v>833</v>
      </c>
      <c r="D9" s="604">
        <v>4</v>
      </c>
      <c r="E9" s="87" t="s">
        <v>831</v>
      </c>
      <c r="N9" s="1050" t="s">
        <v>731</v>
      </c>
      <c r="O9" s="1052"/>
    </row>
    <row r="10" spans="1:22" s="505" customFormat="1" ht="15.75" thickBot="1">
      <c r="A10" s="564"/>
      <c r="N10" s="542" t="s">
        <v>725</v>
      </c>
      <c r="O10" s="543" t="s">
        <v>726</v>
      </c>
      <c r="P10" s="547" t="s">
        <v>743</v>
      </c>
    </row>
    <row r="11" spans="1:22" ht="30.75" thickBot="1">
      <c r="A11" s="564"/>
      <c r="C11" s="1050" t="s">
        <v>1175</v>
      </c>
      <c r="D11" s="1051"/>
      <c r="E11" s="1052"/>
      <c r="N11" s="544" t="s">
        <v>727</v>
      </c>
      <c r="O11" s="543" t="s">
        <v>728</v>
      </c>
      <c r="P11" s="547" t="s">
        <v>739</v>
      </c>
    </row>
    <row r="12" spans="1:22" ht="18" customHeight="1" thickBot="1">
      <c r="A12" s="564"/>
      <c r="C12" s="705" t="s">
        <v>1177</v>
      </c>
      <c r="D12" s="706">
        <v>20</v>
      </c>
      <c r="E12" s="707" t="s">
        <v>994</v>
      </c>
      <c r="K12" s="419"/>
      <c r="P12" s="547"/>
    </row>
    <row r="13" spans="1:22" ht="15.75" thickBot="1">
      <c r="C13" s="158" t="s">
        <v>274</v>
      </c>
      <c r="D13" s="144">
        <f>(1-D12/'Solid fuels - emission calc.'!J108)*100</f>
        <v>99.878481923324486</v>
      </c>
      <c r="E13" s="619" t="s">
        <v>87</v>
      </c>
      <c r="K13" s="419"/>
      <c r="N13" s="1050" t="s">
        <v>732</v>
      </c>
      <c r="O13" s="1052"/>
      <c r="P13" s="547" t="s">
        <v>744</v>
      </c>
    </row>
    <row r="14" spans="1:22" ht="15.75" thickBot="1">
      <c r="C14" s="5" t="s">
        <v>1036</v>
      </c>
      <c r="D14" s="617">
        <f>+'Solid fuels - emission calc.'!J108</f>
        <v>16458.456673409371</v>
      </c>
      <c r="E14" s="619" t="s">
        <v>994</v>
      </c>
      <c r="N14" s="520" t="s">
        <v>709</v>
      </c>
      <c r="O14" s="521" t="s">
        <v>710</v>
      </c>
      <c r="P14" s="547"/>
    </row>
    <row r="15" spans="1:22" ht="15.75" thickBot="1">
      <c r="N15" s="370">
        <v>0</v>
      </c>
      <c r="O15" s="387">
        <v>2</v>
      </c>
    </row>
    <row r="16" spans="1:22">
      <c r="C16" s="1050" t="s">
        <v>688</v>
      </c>
      <c r="D16" s="1051"/>
      <c r="E16" s="1052"/>
      <c r="N16" s="424">
        <v>370</v>
      </c>
      <c r="O16" s="387">
        <v>1.5</v>
      </c>
    </row>
    <row r="17" spans="1:22">
      <c r="C17" s="423" t="s">
        <v>687</v>
      </c>
      <c r="D17" s="515">
        <f>0.013</f>
        <v>1.2999999999999999E-2</v>
      </c>
      <c r="E17" s="433" t="s">
        <v>464</v>
      </c>
      <c r="N17" s="424">
        <v>1115</v>
      </c>
      <c r="O17" s="387">
        <v>1.25</v>
      </c>
    </row>
    <row r="18" spans="1:22">
      <c r="C18" s="423" t="s">
        <v>1085</v>
      </c>
      <c r="D18" s="674">
        <f>'Solid fuels - emission calc.'!J102/'Solid fuels - emission calc.'!J97*'Solid fuels - emission calc.'!D20</f>
        <v>414.06720716502139</v>
      </c>
      <c r="E18" s="249" t="s">
        <v>1086</v>
      </c>
      <c r="N18" s="424">
        <v>2230</v>
      </c>
      <c r="O18" s="387">
        <v>1.17</v>
      </c>
    </row>
    <row r="19" spans="1:22" ht="18">
      <c r="C19" s="423" t="s">
        <v>467</v>
      </c>
      <c r="D19" s="507">
        <f>INT(D18/D17)+1</f>
        <v>31852</v>
      </c>
      <c r="E19" s="379" t="s">
        <v>428</v>
      </c>
      <c r="N19" s="424">
        <v>3350</v>
      </c>
      <c r="O19" s="387">
        <v>1.125</v>
      </c>
    </row>
    <row r="20" spans="1:22" ht="18.75" thickBot="1">
      <c r="C20" s="363" t="s">
        <v>942</v>
      </c>
      <c r="D20" s="366">
        <f>INT(D19*INDEX(O15:O27,MATCH(D19,N15:N27)))+1</f>
        <v>33127</v>
      </c>
      <c r="E20" s="364" t="str">
        <f>E19</f>
        <v>m2</v>
      </c>
      <c r="N20" s="424">
        <v>4460</v>
      </c>
      <c r="O20" s="387">
        <v>1.1100000000000001</v>
      </c>
    </row>
    <row r="21" spans="1:22">
      <c r="N21" s="424">
        <v>5580</v>
      </c>
      <c r="O21" s="387">
        <v>1.1000000000000001</v>
      </c>
    </row>
    <row r="22" spans="1:22">
      <c r="N22" s="424">
        <v>6690</v>
      </c>
      <c r="O22" s="387">
        <v>1.0900000000000001</v>
      </c>
    </row>
    <row r="23" spans="1:22">
      <c r="G23" s="404"/>
      <c r="N23" s="424">
        <v>7810</v>
      </c>
      <c r="O23" s="387">
        <v>1.08</v>
      </c>
    </row>
    <row r="24" spans="1:22">
      <c r="N24" s="424">
        <v>8920</v>
      </c>
      <c r="O24" s="387">
        <v>1.07</v>
      </c>
    </row>
    <row r="25" spans="1:22">
      <c r="N25" s="424">
        <v>10040</v>
      </c>
      <c r="O25" s="387">
        <v>1.06</v>
      </c>
    </row>
    <row r="26" spans="1:22">
      <c r="C26" s="502"/>
      <c r="D26" s="500"/>
      <c r="E26" s="404"/>
      <c r="N26" s="424">
        <v>12270</v>
      </c>
      <c r="O26" s="387">
        <v>1.05</v>
      </c>
    </row>
    <row r="27" spans="1:22" s="505" customFormat="1" ht="15.75" thickBot="1">
      <c r="C27" s="502"/>
      <c r="D27" s="500"/>
      <c r="E27" s="404"/>
      <c r="N27" s="425">
        <v>16730</v>
      </c>
      <c r="O27" s="388">
        <v>1.04</v>
      </c>
    </row>
    <row r="28" spans="1:22">
      <c r="C28" s="502"/>
      <c r="D28" s="501"/>
      <c r="E28" s="404"/>
    </row>
    <row r="29" spans="1:22" s="418" customFormat="1" ht="27.75">
      <c r="A29" s="75"/>
      <c r="B29" s="75"/>
      <c r="C29" s="206" t="s">
        <v>480</v>
      </c>
      <c r="D29" s="140"/>
      <c r="E29" s="140"/>
      <c r="F29" s="140"/>
      <c r="G29" s="140"/>
      <c r="H29" s="140"/>
      <c r="I29" s="140"/>
      <c r="J29" s="140"/>
      <c r="K29" s="140"/>
      <c r="L29" s="140"/>
      <c r="M29" s="140"/>
      <c r="N29" s="206" t="s">
        <v>693</v>
      </c>
      <c r="O29" s="140"/>
      <c r="P29" s="140"/>
      <c r="Q29" s="140"/>
      <c r="R29" s="75"/>
      <c r="S29" s="76"/>
      <c r="T29" s="75"/>
      <c r="U29" s="75"/>
      <c r="V29" s="75"/>
    </row>
    <row r="30" spans="1:22" ht="15.75" thickBot="1"/>
    <row r="31" spans="1:22" ht="15.75" thickBot="1">
      <c r="N31" s="1050" t="s">
        <v>729</v>
      </c>
      <c r="O31" s="1052"/>
    </row>
    <row r="32" spans="1:22" ht="22.5" customHeight="1" thickBot="1">
      <c r="C32" s="1050" t="s">
        <v>683</v>
      </c>
      <c r="D32" s="1051"/>
      <c r="E32" s="1052"/>
      <c r="N32" s="429" t="s">
        <v>721</v>
      </c>
      <c r="O32" s="534" t="s">
        <v>724</v>
      </c>
      <c r="P32" s="547" t="s">
        <v>742</v>
      </c>
    </row>
    <row r="33" spans="1:22" ht="15.75" thickBot="1">
      <c r="C33" s="408" t="str">
        <f>C20</f>
        <v>Gross cloth area [AGC]</v>
      </c>
      <c r="D33" s="413">
        <f>D20</f>
        <v>33127</v>
      </c>
      <c r="E33" s="409" t="s">
        <v>428</v>
      </c>
      <c r="N33" s="428" t="s">
        <v>722</v>
      </c>
      <c r="O33" s="427" t="s">
        <v>723</v>
      </c>
      <c r="P33" s="547" t="s">
        <v>740</v>
      </c>
    </row>
    <row r="34" spans="1:22" ht="15.75" thickBot="1">
      <c r="C34" s="423" t="s">
        <v>943</v>
      </c>
      <c r="D34" s="361">
        <v>8</v>
      </c>
      <c r="E34" s="433"/>
      <c r="G34" s="505"/>
    </row>
    <row r="35" spans="1:22" ht="18">
      <c r="C35" s="423" t="s">
        <v>702</v>
      </c>
      <c r="D35" s="507">
        <f>D33/D34</f>
        <v>4140.875</v>
      </c>
      <c r="E35" s="433" t="str">
        <f>E33</f>
        <v>m2</v>
      </c>
      <c r="G35" s="505"/>
      <c r="N35" s="1050" t="s">
        <v>733</v>
      </c>
      <c r="O35" s="1051"/>
      <c r="P35" s="1051"/>
      <c r="Q35" s="1052"/>
      <c r="R35" s="547" t="s">
        <v>230</v>
      </c>
    </row>
    <row r="36" spans="1:22">
      <c r="C36" s="423" t="s">
        <v>691</v>
      </c>
      <c r="D36" s="361">
        <v>2</v>
      </c>
      <c r="E36" s="433"/>
      <c r="N36" s="512" t="s">
        <v>468</v>
      </c>
      <c r="O36" s="508" t="s">
        <v>469</v>
      </c>
      <c r="P36" s="508" t="s">
        <v>481</v>
      </c>
      <c r="Q36" s="509" t="s">
        <v>482</v>
      </c>
    </row>
    <row r="37" spans="1:22" s="418" customFormat="1" ht="15.75" thickBot="1">
      <c r="A37"/>
      <c r="B37"/>
      <c r="C37" s="538" t="s">
        <v>711</v>
      </c>
      <c r="D37" s="539">
        <f>D33+D36*D35</f>
        <v>41408.75</v>
      </c>
      <c r="E37" s="540" t="s">
        <v>428</v>
      </c>
      <c r="F37"/>
      <c r="G37"/>
      <c r="L37"/>
      <c r="M37"/>
      <c r="N37" s="1154" t="s">
        <v>1164</v>
      </c>
      <c r="O37" s="508" t="s">
        <v>415</v>
      </c>
      <c r="P37" s="422">
        <v>55603.757385543904</v>
      </c>
      <c r="Q37" s="510">
        <v>123.51458852872963</v>
      </c>
      <c r="R37" s="1156" t="s">
        <v>1166</v>
      </c>
      <c r="S37"/>
      <c r="T37"/>
      <c r="U37"/>
      <c r="V37"/>
    </row>
    <row r="38" spans="1:22" s="418" customFormat="1">
      <c r="A38"/>
      <c r="B38"/>
      <c r="C38"/>
      <c r="D38"/>
      <c r="E38"/>
      <c r="F38"/>
      <c r="G38"/>
      <c r="L38"/>
      <c r="M38"/>
      <c r="N38" s="1154"/>
      <c r="O38" s="508" t="s">
        <v>470</v>
      </c>
      <c r="P38" s="422">
        <v>26789.434660881612</v>
      </c>
      <c r="Q38" s="510">
        <v>97.119794355154809</v>
      </c>
      <c r="R38" s="1156"/>
      <c r="S38"/>
      <c r="T38"/>
      <c r="U38"/>
      <c r="V38"/>
    </row>
    <row r="39" spans="1:22" s="418" customFormat="1" ht="15.75" thickBot="1">
      <c r="A39"/>
      <c r="B39"/>
      <c r="F39"/>
      <c r="M39"/>
      <c r="N39" s="1154"/>
      <c r="O39" s="508" t="s">
        <v>471</v>
      </c>
      <c r="P39" s="422">
        <v>3087.6419163144305</v>
      </c>
      <c r="Q39" s="510">
        <v>36.05648115857673</v>
      </c>
      <c r="R39" s="1156"/>
      <c r="S39"/>
      <c r="T39"/>
    </row>
    <row r="40" spans="1:22" s="418" customFormat="1" ht="22.5" customHeight="1" thickBot="1">
      <c r="A40"/>
      <c r="B40"/>
      <c r="C40" s="1050" t="s">
        <v>479</v>
      </c>
      <c r="D40" s="1051"/>
      <c r="E40" s="1052"/>
      <c r="F40"/>
      <c r="L40"/>
      <c r="M40"/>
      <c r="N40" s="1154" t="s">
        <v>1165</v>
      </c>
      <c r="O40" s="508" t="s">
        <v>415</v>
      </c>
      <c r="P40" s="422">
        <v>422647.45294379309</v>
      </c>
      <c r="Q40" s="510">
        <v>89.669647522761863</v>
      </c>
      <c r="R40"/>
      <c r="S40"/>
      <c r="T40"/>
    </row>
    <row r="41" spans="1:22" s="418" customFormat="1" ht="18">
      <c r="A41"/>
      <c r="B41"/>
      <c r="C41" s="408" t="s">
        <v>702</v>
      </c>
      <c r="D41" s="413">
        <f>D35</f>
        <v>4140.875</v>
      </c>
      <c r="E41" s="409" t="s">
        <v>428</v>
      </c>
      <c r="F41" s="505"/>
      <c r="L41"/>
      <c r="M41"/>
      <c r="N41" s="1154"/>
      <c r="O41" s="508" t="s">
        <v>470</v>
      </c>
      <c r="P41" s="422">
        <v>143808.02727967617</v>
      </c>
      <c r="Q41" s="510">
        <v>33.994525434510329</v>
      </c>
      <c r="R41"/>
      <c r="S41"/>
      <c r="T41">
        <v>1</v>
      </c>
    </row>
    <row r="42" spans="1:22" s="418" customFormat="1" ht="15.75" thickBot="1">
      <c r="A42"/>
      <c r="B42"/>
      <c r="C42" s="703" t="s">
        <v>1163</v>
      </c>
      <c r="D42" s="361" t="s">
        <v>1165</v>
      </c>
      <c r="E42" s="379"/>
      <c r="F42" s="696" t="str">
        <f>IF(D42=N37,IF(D37&gt;2000,"Caution ! For Pre-assembled unit, Total cloth area should not exceed 2000 m²",""),"")</f>
        <v/>
      </c>
      <c r="L42"/>
      <c r="M42"/>
      <c r="N42" s="1155"/>
      <c r="O42" s="504" t="s">
        <v>471</v>
      </c>
      <c r="P42" s="545">
        <v>89878.935913898298</v>
      </c>
      <c r="Q42" s="511">
        <v>10.036985131264784</v>
      </c>
      <c r="R42"/>
      <c r="T42">
        <v>2</v>
      </c>
    </row>
    <row r="43" spans="1:22">
      <c r="C43" s="411" t="s">
        <v>415</v>
      </c>
      <c r="D43" s="412" t="s">
        <v>278</v>
      </c>
      <c r="E43" s="379" t="s">
        <v>278</v>
      </c>
    </row>
    <row r="44" spans="1:22">
      <c r="C44" s="411" t="s">
        <v>472</v>
      </c>
      <c r="D44" s="361" t="s">
        <v>278</v>
      </c>
      <c r="E44" s="379" t="s">
        <v>85</v>
      </c>
    </row>
    <row r="45" spans="1:22" s="410" customFormat="1">
      <c r="A45"/>
      <c r="B45"/>
      <c r="C45" s="411" t="s">
        <v>500</v>
      </c>
      <c r="D45" s="361" t="s">
        <v>278</v>
      </c>
      <c r="E45" s="379" t="s">
        <v>85</v>
      </c>
      <c r="F45"/>
      <c r="G45"/>
      <c r="L45"/>
      <c r="M45"/>
      <c r="R45"/>
      <c r="S45"/>
      <c r="T45"/>
    </row>
    <row r="46" spans="1:22" ht="15.75" thickBot="1">
      <c r="C46" s="411" t="s">
        <v>473</v>
      </c>
      <c r="D46" s="507">
        <f>IF(D42=N40,P40,P37)</f>
        <v>422647.45294379309</v>
      </c>
      <c r="E46" s="379" t="s">
        <v>123</v>
      </c>
      <c r="R46" s="505"/>
      <c r="S46" s="505"/>
    </row>
    <row r="47" spans="1:22" ht="15.75" thickBot="1">
      <c r="C47" s="411" t="s">
        <v>474</v>
      </c>
      <c r="D47" s="704">
        <f>IF(D44="Y",IF(D42=N40,P41,P38),0)</f>
        <v>143808.02727967617</v>
      </c>
      <c r="E47" s="379" t="s">
        <v>123</v>
      </c>
      <c r="N47" s="1159" t="s">
        <v>730</v>
      </c>
      <c r="O47" s="1160"/>
      <c r="R47" s="505"/>
      <c r="S47" s="505"/>
    </row>
    <row r="48" spans="1:22">
      <c r="C48" s="411" t="s">
        <v>475</v>
      </c>
      <c r="D48" s="704">
        <f>IF(D45="Y",IF(D42=N40,P42,P39),0)</f>
        <v>89878.935913898298</v>
      </c>
      <c r="E48" s="379" t="s">
        <v>123</v>
      </c>
      <c r="G48" s="505"/>
      <c r="K48" s="564"/>
      <c r="N48" s="420" t="s">
        <v>483</v>
      </c>
      <c r="O48" s="660">
        <v>1</v>
      </c>
      <c r="P48" s="410"/>
      <c r="Q48" s="410"/>
      <c r="R48" s="505"/>
      <c r="S48" s="505"/>
    </row>
    <row r="49" spans="3:20">
      <c r="C49" s="411" t="s">
        <v>476</v>
      </c>
      <c r="D49" s="704">
        <f>IF($D$42=$N$40,Q40,Q37)</f>
        <v>89.669647522761863</v>
      </c>
      <c r="E49" s="379" t="s">
        <v>454</v>
      </c>
      <c r="N49" s="420" t="s">
        <v>484</v>
      </c>
      <c r="O49" s="660">
        <v>1.125</v>
      </c>
      <c r="P49" s="547" t="s">
        <v>510</v>
      </c>
      <c r="R49" s="503"/>
      <c r="S49" s="503"/>
    </row>
    <row r="50" spans="3:20">
      <c r="C50" s="411" t="s">
        <v>477</v>
      </c>
      <c r="D50" s="704">
        <f>IF(D44="Y",IF($D$42=$N$40,Q41,Q38),0)</f>
        <v>33.994525434510329</v>
      </c>
      <c r="E50" s="379" t="s">
        <v>454</v>
      </c>
      <c r="N50" s="420" t="s">
        <v>485</v>
      </c>
      <c r="O50" s="660">
        <v>1.2</v>
      </c>
      <c r="P50" s="547" t="s">
        <v>511</v>
      </c>
      <c r="R50" s="503"/>
      <c r="S50" s="503"/>
    </row>
    <row r="51" spans="3:20">
      <c r="C51" s="411" t="s">
        <v>478</v>
      </c>
      <c r="D51" s="704">
        <f>IF(D45="Y",IF($D$42=$N$40,Q42,Q39),0)</f>
        <v>10.036985131264784</v>
      </c>
      <c r="E51" s="379" t="s">
        <v>454</v>
      </c>
      <c r="N51" s="420" t="s">
        <v>486</v>
      </c>
      <c r="O51" s="660">
        <v>2.5</v>
      </c>
      <c r="P51" s="547" t="s">
        <v>510</v>
      </c>
      <c r="R51" s="503"/>
      <c r="S51" s="503"/>
    </row>
    <row r="52" spans="3:20" ht="15.75" thickBot="1">
      <c r="C52" s="407" t="s">
        <v>479</v>
      </c>
      <c r="D52" s="366">
        <f>(SUM(D46:D48)+SUM(D49:D51)*D41)*(D34+D36)</f>
        <v>12099741.991372379</v>
      </c>
      <c r="E52" s="364" t="s">
        <v>123</v>
      </c>
      <c r="N52" s="420" t="s">
        <v>487</v>
      </c>
      <c r="O52" s="660">
        <v>5</v>
      </c>
      <c r="P52" s="547" t="s">
        <v>510</v>
      </c>
    </row>
    <row r="53" spans="3:20">
      <c r="N53" s="420" t="s">
        <v>488</v>
      </c>
      <c r="O53" s="660">
        <v>6.25</v>
      </c>
      <c r="P53" s="547" t="s">
        <v>510</v>
      </c>
    </row>
    <row r="54" spans="3:20" ht="15.75" thickBot="1">
      <c r="N54" s="420" t="s">
        <v>489</v>
      </c>
      <c r="O54" s="660">
        <v>7.5</v>
      </c>
      <c r="P54" s="547" t="s">
        <v>510</v>
      </c>
    </row>
    <row r="55" spans="3:20" ht="15.75" thickBot="1">
      <c r="C55" s="1050" t="s">
        <v>492</v>
      </c>
      <c r="D55" s="1051"/>
      <c r="E55" s="1052"/>
      <c r="N55" s="421" t="s">
        <v>490</v>
      </c>
      <c r="O55" s="661">
        <v>9.4</v>
      </c>
      <c r="P55" s="547" t="s">
        <v>512</v>
      </c>
    </row>
    <row r="56" spans="3:20">
      <c r="C56" s="362" t="s">
        <v>491</v>
      </c>
      <c r="D56" s="361" t="s">
        <v>488</v>
      </c>
      <c r="E56" s="379"/>
      <c r="G56" s="505"/>
    </row>
    <row r="57" spans="3:20" ht="15.75" customHeight="1" thickBot="1">
      <c r="C57" s="1" t="s">
        <v>497</v>
      </c>
      <c r="D57" s="361">
        <v>9</v>
      </c>
      <c r="E57" s="403" t="s">
        <v>454</v>
      </c>
    </row>
    <row r="58" spans="3:20" ht="18.75">
      <c r="C58" s="423" t="s">
        <v>499</v>
      </c>
      <c r="D58" s="365">
        <f>D57*VLOOKUP(D56,$N$48:$O$55,2,FALSE)</f>
        <v>56.25</v>
      </c>
      <c r="E58" s="379" t="s">
        <v>454</v>
      </c>
      <c r="N58" s="1157" t="s">
        <v>734</v>
      </c>
      <c r="O58" s="1158"/>
    </row>
    <row r="59" spans="3:20" ht="19.5" thickBot="1">
      <c r="C59" s="363" t="s">
        <v>498</v>
      </c>
      <c r="D59" s="366">
        <f>D58*D37</f>
        <v>2329242.1875</v>
      </c>
      <c r="E59" s="364" t="s">
        <v>123</v>
      </c>
      <c r="N59" s="356" t="s">
        <v>716</v>
      </c>
      <c r="O59" s="518" t="s">
        <v>705</v>
      </c>
    </row>
    <row r="60" spans="3:20" ht="15.75" customHeight="1" thickBot="1">
      <c r="N60" s="532" t="s">
        <v>1088</v>
      </c>
      <c r="O60" s="533" t="s">
        <v>704</v>
      </c>
      <c r="P60" s="547" t="s">
        <v>741</v>
      </c>
    </row>
    <row r="61" spans="3:20">
      <c r="R61" s="418"/>
      <c r="S61" s="382"/>
      <c r="T61" s="382"/>
    </row>
    <row r="62" spans="3:20" ht="15.75" thickBot="1">
      <c r="R62" s="382"/>
      <c r="S62" s="382"/>
      <c r="T62" s="382"/>
    </row>
    <row r="63" spans="3:20" ht="15.75" customHeight="1" thickBot="1">
      <c r="C63" s="1050" t="s">
        <v>495</v>
      </c>
      <c r="D63" s="1051"/>
      <c r="E63" s="1052"/>
      <c r="N63" s="1157" t="s">
        <v>735</v>
      </c>
      <c r="O63" s="1158"/>
      <c r="R63" s="382"/>
      <c r="S63" s="382"/>
      <c r="T63" s="382"/>
    </row>
    <row r="64" spans="3:20" ht="15.75" customHeight="1">
      <c r="C64" s="423" t="s">
        <v>694</v>
      </c>
      <c r="D64" s="698">
        <v>8</v>
      </c>
      <c r="E64" s="379" t="s">
        <v>701</v>
      </c>
      <c r="N64" s="429" t="s">
        <v>696</v>
      </c>
      <c r="O64" s="534" t="s">
        <v>697</v>
      </c>
      <c r="P64" s="548" t="s">
        <v>738</v>
      </c>
    </row>
    <row r="65" spans="1:22" ht="15.75" thickBot="1">
      <c r="C65" s="1" t="s">
        <v>695</v>
      </c>
      <c r="D65" s="698">
        <v>150</v>
      </c>
      <c r="E65" s="433" t="s">
        <v>700</v>
      </c>
      <c r="N65" s="428" t="s">
        <v>698</v>
      </c>
      <c r="O65" s="427" t="s">
        <v>699</v>
      </c>
      <c r="P65" s="548" t="s">
        <v>739</v>
      </c>
    </row>
    <row r="66" spans="1:22">
      <c r="C66" s="423"/>
      <c r="D66" s="550"/>
      <c r="E66" s="379"/>
      <c r="P66" s="382"/>
    </row>
    <row r="67" spans="1:22" ht="15" customHeight="1">
      <c r="C67" s="423"/>
      <c r="D67" s="662"/>
      <c r="E67" s="379"/>
      <c r="O67" s="382"/>
      <c r="P67" s="382"/>
    </row>
    <row r="68" spans="1:22">
      <c r="C68" s="423"/>
      <c r="D68" s="662"/>
      <c r="E68" s="379"/>
      <c r="N68" s="417"/>
    </row>
    <row r="69" spans="1:22">
      <c r="C69" s="423" t="s">
        <v>1097</v>
      </c>
      <c r="D69" s="517">
        <v>20</v>
      </c>
      <c r="E69" s="379" t="s">
        <v>1098</v>
      </c>
      <c r="N69" s="417"/>
    </row>
    <row r="70" spans="1:22">
      <c r="C70" s="423"/>
      <c r="D70" s="550"/>
      <c r="E70" s="379"/>
      <c r="N70" s="417"/>
    </row>
    <row r="71" spans="1:22" ht="15.75" thickBot="1">
      <c r="C71" s="363" t="s">
        <v>494</v>
      </c>
      <c r="D71" s="366">
        <f>D69*D37</f>
        <v>828175</v>
      </c>
      <c r="E71" s="364" t="s">
        <v>123</v>
      </c>
      <c r="N71" s="417"/>
      <c r="O71" s="382"/>
      <c r="P71" s="382"/>
    </row>
    <row r="72" spans="1:22">
      <c r="O72" s="382"/>
      <c r="P72" s="382"/>
    </row>
    <row r="75" spans="1:22" ht="27.75">
      <c r="A75" s="75"/>
      <c r="B75" s="140"/>
      <c r="C75" s="206" t="s">
        <v>184</v>
      </c>
      <c r="D75" s="140"/>
      <c r="E75" s="140"/>
      <c r="F75" s="140"/>
      <c r="G75" s="140"/>
      <c r="H75" s="140"/>
      <c r="I75" s="140"/>
      <c r="J75" s="140"/>
      <c r="K75" s="140"/>
      <c r="L75" s="140"/>
      <c r="M75" s="140"/>
      <c r="N75" s="206" t="s">
        <v>328</v>
      </c>
      <c r="O75" s="140"/>
      <c r="P75" s="140"/>
      <c r="Q75" s="140"/>
      <c r="R75" s="75"/>
      <c r="S75" s="75"/>
      <c r="T75" s="75"/>
      <c r="U75" s="75"/>
      <c r="V75" s="75"/>
    </row>
    <row r="76" spans="1:22">
      <c r="Q76" s="417"/>
    </row>
    <row r="77" spans="1:22" ht="15.75" thickBot="1">
      <c r="P77" s="417"/>
      <c r="Q77" s="417"/>
    </row>
    <row r="78" spans="1:22">
      <c r="C78" s="1050" t="s">
        <v>184</v>
      </c>
      <c r="D78" s="1152"/>
      <c r="E78" s="1153"/>
      <c r="P78" s="417"/>
      <c r="Q78" s="417"/>
    </row>
    <row r="79" spans="1:22" ht="15.75" thickBot="1">
      <c r="C79" s="80" t="s">
        <v>980</v>
      </c>
      <c r="D79" s="134">
        <f>D13/100*(('Solid fuels - emission calc.'!J108/'Solid fuels - emission calc.'!J105)*'Solid fuels - emission calc.'!J103)/10^9</f>
        <v>246413.28806447383</v>
      </c>
      <c r="E79" s="142" t="s">
        <v>115</v>
      </c>
      <c r="P79" s="417"/>
      <c r="Q79" s="417"/>
    </row>
    <row r="80" spans="1:22" ht="15.75" thickBot="1">
      <c r="C80" s="80" t="s">
        <v>772</v>
      </c>
      <c r="D80" s="506">
        <f>(D52+D59+D71)*(1+SUM(O88:O89))</f>
        <v>17545733.055703234</v>
      </c>
      <c r="E80" s="142" t="s">
        <v>123</v>
      </c>
      <c r="N80" s="1142" t="s">
        <v>736</v>
      </c>
      <c r="O80" s="1143"/>
    </row>
    <row r="81" spans="1:22">
      <c r="C81" s="80" t="s">
        <v>773</v>
      </c>
      <c r="D81" s="506">
        <f>D80*SUM(O93:O98)</f>
        <v>12983842.461220393</v>
      </c>
      <c r="E81" s="142" t="s">
        <v>123</v>
      </c>
      <c r="N81" s="429" t="s">
        <v>457</v>
      </c>
      <c r="O81" s="516" t="s">
        <v>463</v>
      </c>
      <c r="P81" s="547" t="s">
        <v>742</v>
      </c>
    </row>
    <row r="82" spans="1:22">
      <c r="C82" s="80" t="s">
        <v>774</v>
      </c>
      <c r="D82" s="506">
        <f>D80*SUM(O102:O107)</f>
        <v>7895579.8750664564</v>
      </c>
      <c r="E82" s="142" t="s">
        <v>123</v>
      </c>
      <c r="G82" s="505"/>
      <c r="N82" s="514" t="s">
        <v>462</v>
      </c>
      <c r="O82" s="426" t="s">
        <v>461</v>
      </c>
      <c r="P82" s="547" t="s">
        <v>744</v>
      </c>
    </row>
    <row r="83" spans="1:22">
      <c r="C83" s="700" t="s">
        <v>1180</v>
      </c>
      <c r="D83" s="361" t="s">
        <v>95</v>
      </c>
      <c r="E83" s="379" t="s">
        <v>85</v>
      </c>
      <c r="N83" s="514" t="s">
        <v>684</v>
      </c>
      <c r="O83" s="519" t="s">
        <v>706</v>
      </c>
      <c r="P83" s="547" t="s">
        <v>740</v>
      </c>
    </row>
    <row r="84" spans="1:22" ht="15.75" thickBot="1">
      <c r="A84" s="564"/>
      <c r="C84" s="80" t="s">
        <v>990</v>
      </c>
      <c r="D84" s="361" t="s">
        <v>278</v>
      </c>
      <c r="E84" s="379" t="s">
        <v>85</v>
      </c>
      <c r="N84" s="428" t="s">
        <v>686</v>
      </c>
      <c r="O84" s="427">
        <f>2/1000</f>
        <v>2E-3</v>
      </c>
      <c r="P84" s="549" t="s">
        <v>744</v>
      </c>
    </row>
    <row r="85" spans="1:22" s="564" customFormat="1">
      <c r="C85" s="397"/>
      <c r="D85" s="576"/>
      <c r="E85" s="143"/>
      <c r="N85" s="552"/>
      <c r="O85" s="552"/>
      <c r="P85" s="549"/>
    </row>
    <row r="86" spans="1:22" s="418" customFormat="1" ht="15.75" thickBot="1">
      <c r="A86" s="564"/>
      <c r="B86"/>
      <c r="C86" s="397" t="s">
        <v>125</v>
      </c>
      <c r="D86" s="401">
        <f>D82+D81+D80*IF(D83="N",1.4,1)</f>
        <v>45443448.614271373</v>
      </c>
      <c r="E86" s="143" t="s">
        <v>123</v>
      </c>
      <c r="F86"/>
      <c r="G86"/>
      <c r="K86"/>
      <c r="L86"/>
      <c r="M86"/>
      <c r="N86"/>
      <c r="O86"/>
      <c r="P86" s="547"/>
      <c r="Q86"/>
      <c r="R86"/>
      <c r="S86"/>
      <c r="T86"/>
      <c r="U86"/>
      <c r="V86"/>
    </row>
    <row r="87" spans="1:22">
      <c r="C87" s="80" t="s">
        <v>34</v>
      </c>
      <c r="D87" s="134">
        <f>D86*'Solid fuels - emission calc.'!$J$5</f>
        <v>4087233.7730193418</v>
      </c>
      <c r="E87" s="142" t="s">
        <v>126</v>
      </c>
      <c r="N87" s="1142" t="s">
        <v>788</v>
      </c>
      <c r="O87" s="1143"/>
      <c r="P87" s="547" t="s">
        <v>744</v>
      </c>
    </row>
    <row r="88" spans="1:22">
      <c r="C88" s="1149" t="s">
        <v>33</v>
      </c>
      <c r="D88" s="1150"/>
      <c r="E88" s="1151"/>
      <c r="N88" s="574" t="s">
        <v>776</v>
      </c>
      <c r="O88" s="200">
        <v>0.1</v>
      </c>
    </row>
    <row r="89" spans="1:22" ht="15.75" thickBot="1">
      <c r="C89" s="397" t="s">
        <v>30</v>
      </c>
      <c r="D89" s="401">
        <f>D86*'Solid fuels - emission calc.'!$G$4</f>
        <v>908868.9722854275</v>
      </c>
      <c r="E89" s="143" t="s">
        <v>126</v>
      </c>
      <c r="N89" s="430" t="s">
        <v>777</v>
      </c>
      <c r="O89" s="202">
        <v>0.05</v>
      </c>
    </row>
    <row r="90" spans="1:22" s="564" customFormat="1">
      <c r="C90" s="397" t="s">
        <v>986</v>
      </c>
      <c r="D90" s="398"/>
      <c r="E90" s="143"/>
      <c r="N90" s="577"/>
      <c r="O90" s="402"/>
    </row>
    <row r="91" spans="1:22" ht="15.75" thickBot="1">
      <c r="C91" s="119" t="s">
        <v>458</v>
      </c>
      <c r="D91" s="361">
        <v>50</v>
      </c>
      <c r="E91" s="117" t="s">
        <v>16</v>
      </c>
    </row>
    <row r="92" spans="1:22">
      <c r="C92" s="119" t="s">
        <v>460</v>
      </c>
      <c r="D92" s="396">
        <v>0.65</v>
      </c>
      <c r="E92" s="117" t="s">
        <v>87</v>
      </c>
      <c r="N92" s="1142" t="s">
        <v>775</v>
      </c>
      <c r="O92" s="1143"/>
    </row>
    <row r="93" spans="1:22">
      <c r="C93" s="119" t="s">
        <v>455</v>
      </c>
      <c r="D93" s="394">
        <f>'Solid fuels - emission calc.'!K35*D91/D92*D18*3600</f>
        <v>3.1693308556925799</v>
      </c>
      <c r="E93" s="115" t="s">
        <v>52</v>
      </c>
      <c r="N93" s="431" t="s">
        <v>504</v>
      </c>
      <c r="O93" s="433">
        <v>0.04</v>
      </c>
    </row>
    <row r="94" spans="1:22">
      <c r="C94" s="119" t="s">
        <v>686</v>
      </c>
      <c r="D94" s="664">
        <f>2/1000</f>
        <v>2E-3</v>
      </c>
      <c r="E94" s="379"/>
      <c r="N94" s="431" t="s">
        <v>505</v>
      </c>
      <c r="O94" s="433">
        <v>0.5</v>
      </c>
    </row>
    <row r="95" spans="1:22">
      <c r="C95" s="119" t="s">
        <v>685</v>
      </c>
      <c r="D95" s="663">
        <f>3.75*0.0001*D18*D94*3600</f>
        <v>1.1179814593455579</v>
      </c>
      <c r="E95" s="513" t="str">
        <f>E93</f>
        <v>MWh/h</v>
      </c>
      <c r="N95" s="431" t="s">
        <v>506</v>
      </c>
      <c r="O95" s="433">
        <v>0.08</v>
      </c>
    </row>
    <row r="96" spans="1:22">
      <c r="C96" s="119" t="s">
        <v>1183</v>
      </c>
      <c r="D96" s="415">
        <v>20000</v>
      </c>
      <c r="E96" s="115" t="s">
        <v>717</v>
      </c>
      <c r="N96" s="431" t="s">
        <v>507</v>
      </c>
      <c r="O96" s="433">
        <v>0.01</v>
      </c>
    </row>
    <row r="97" spans="1:15">
      <c r="A97" s="564"/>
      <c r="C97" s="397" t="s">
        <v>988</v>
      </c>
      <c r="D97" s="607">
        <f>IF(D84="Y",D79*D8,D79*D9)</f>
        <v>-246413.28806447383</v>
      </c>
      <c r="E97" s="400" t="s">
        <v>126</v>
      </c>
      <c r="N97" s="431" t="s">
        <v>508</v>
      </c>
      <c r="O97" s="433">
        <v>7.0000000000000007E-2</v>
      </c>
    </row>
    <row r="98" spans="1:15" ht="15.75" thickBot="1">
      <c r="A98" s="564"/>
      <c r="C98" s="399" t="s">
        <v>985</v>
      </c>
      <c r="D98" s="401">
        <f>(D95+D93)*'Solid fuels - emission calc.'!K33*'Solid fuels - emission calc.'!G33/100*8760</f>
        <v>2253411.3527840455</v>
      </c>
      <c r="E98" s="400" t="s">
        <v>126</v>
      </c>
      <c r="N98" s="575" t="s">
        <v>509</v>
      </c>
      <c r="O98" s="432">
        <v>0.04</v>
      </c>
    </row>
    <row r="99" spans="1:15" ht="18">
      <c r="A99" s="564"/>
      <c r="C99" s="399" t="s">
        <v>496</v>
      </c>
      <c r="D99" s="401">
        <f>(1+'Solid fuels - emission calc.'!J4)^(D96/(8760*'Solid fuels - emission calc.'!G31/100))*'Solid fuels - emission calc.'!J4/((1+'Solid fuels - emission calc.'!J4)^(D96/(8760*'Solid fuels - emission calc.'!G33/100))-1)*(D59+2.15*D37)</f>
        <v>1129335.4170961273</v>
      </c>
      <c r="E99" s="400" t="s">
        <v>126</v>
      </c>
      <c r="F99" s="418"/>
    </row>
    <row r="100" spans="1:15" ht="15.75" thickBot="1">
      <c r="A100" s="564"/>
      <c r="C100" s="1"/>
      <c r="D100" s="402"/>
      <c r="E100" s="433"/>
      <c r="F100" s="416"/>
    </row>
    <row r="101" spans="1:15">
      <c r="A101" s="564"/>
      <c r="C101" s="666" t="s">
        <v>1095</v>
      </c>
      <c r="D101" s="401">
        <f>+D97+D98+D99</f>
        <v>3136333.481815699</v>
      </c>
      <c r="E101" s="667" t="s">
        <v>126</v>
      </c>
      <c r="N101" s="1142" t="s">
        <v>778</v>
      </c>
      <c r="O101" s="1143"/>
    </row>
    <row r="102" spans="1:15" s="564" customFormat="1" ht="15.75" thickBot="1">
      <c r="C102" s="668"/>
      <c r="D102" s="669"/>
      <c r="E102" s="670"/>
      <c r="N102" s="431" t="s">
        <v>779</v>
      </c>
      <c r="O102" s="433">
        <v>0.1</v>
      </c>
    </row>
    <row r="103" spans="1:15" s="564" customFormat="1">
      <c r="C103" s="1139" t="s">
        <v>1089</v>
      </c>
      <c r="D103" s="1140"/>
      <c r="E103" s="1141"/>
      <c r="N103" s="431" t="s">
        <v>780</v>
      </c>
      <c r="O103" s="433">
        <v>0.2</v>
      </c>
    </row>
    <row r="104" spans="1:15" s="564" customFormat="1">
      <c r="C104" s="149" t="s">
        <v>1090</v>
      </c>
      <c r="D104" s="216">
        <f>+D79</f>
        <v>246413.28806447383</v>
      </c>
      <c r="E104" s="150" t="s">
        <v>1092</v>
      </c>
      <c r="N104" s="431" t="s">
        <v>781</v>
      </c>
      <c r="O104" s="433">
        <v>0.1</v>
      </c>
    </row>
    <row r="105" spans="1:15" ht="16.5">
      <c r="C105" s="149" t="s">
        <v>1184</v>
      </c>
      <c r="D105" s="216">
        <f>+D14</f>
        <v>16458.456673409371</v>
      </c>
      <c r="E105" s="582" t="s">
        <v>1093</v>
      </c>
      <c r="N105" s="574" t="s">
        <v>782</v>
      </c>
      <c r="O105" s="379">
        <v>0.01</v>
      </c>
    </row>
    <row r="106" spans="1:15" s="564" customFormat="1" ht="16.5">
      <c r="C106" s="149" t="s">
        <v>1185</v>
      </c>
      <c r="D106" s="216">
        <f>+D12</f>
        <v>20</v>
      </c>
      <c r="E106" s="582" t="s">
        <v>1094</v>
      </c>
      <c r="N106" s="574" t="s">
        <v>783</v>
      </c>
      <c r="O106" s="379">
        <v>0.01</v>
      </c>
    </row>
    <row r="107" spans="1:15" s="564" customFormat="1" ht="15.75" thickBot="1">
      <c r="C107" s="149" t="s">
        <v>1039</v>
      </c>
      <c r="D107" s="621">
        <f>+D13</f>
        <v>99.878481923324486</v>
      </c>
      <c r="E107" s="150" t="s">
        <v>87</v>
      </c>
      <c r="N107" s="430" t="s">
        <v>784</v>
      </c>
      <c r="O107" s="364">
        <v>0.03</v>
      </c>
    </row>
    <row r="108" spans="1:15" s="564" customFormat="1">
      <c r="C108" s="149" t="s">
        <v>906</v>
      </c>
      <c r="D108" s="216">
        <f>+D86</f>
        <v>45443448.614271373</v>
      </c>
      <c r="E108" s="150" t="s">
        <v>123</v>
      </c>
      <c r="N108" s="577"/>
      <c r="O108" s="404"/>
    </row>
    <row r="109" spans="1:15" s="564" customFormat="1">
      <c r="C109" s="149" t="s">
        <v>879</v>
      </c>
      <c r="D109" s="216">
        <f>+D87+D101+D89</f>
        <v>8132436.2271204684</v>
      </c>
      <c r="E109" s="150" t="s">
        <v>877</v>
      </c>
      <c r="N109" s="577"/>
      <c r="O109" s="404"/>
    </row>
    <row r="110" spans="1:15" s="564" customFormat="1">
      <c r="C110" s="149" t="s">
        <v>1091</v>
      </c>
      <c r="D110" s="216">
        <f>+D109/D104</f>
        <v>33.003237329443948</v>
      </c>
      <c r="E110" s="150" t="s">
        <v>1096</v>
      </c>
      <c r="N110" s="577"/>
      <c r="O110" s="404"/>
    </row>
    <row r="111" spans="1:15" s="564" customFormat="1">
      <c r="C111" s="149" t="s">
        <v>908</v>
      </c>
      <c r="D111" s="216">
        <f>+D108/('Solid fuels - emission calc.'!D$20*1000)</f>
        <v>36.354758891417099</v>
      </c>
      <c r="E111" s="150" t="s">
        <v>303</v>
      </c>
      <c r="N111" s="577"/>
      <c r="O111" s="404"/>
    </row>
    <row r="112" spans="1:15" s="564" customFormat="1">
      <c r="C112" s="149" t="s">
        <v>813</v>
      </c>
      <c r="D112" s="621">
        <f>(D93+D95)/('Solid fuels - emission calc.'!D$20*'Solid fuels - emission calc.'!D$21/100)*100</f>
        <v>0.85746246300762752</v>
      </c>
      <c r="E112" s="150" t="s">
        <v>87</v>
      </c>
      <c r="N112" s="577"/>
      <c r="O112" s="404"/>
    </row>
    <row r="113" spans="1:22" s="564" customFormat="1">
      <c r="C113" s="141" t="s">
        <v>815</v>
      </c>
      <c r="D113" s="171">
        <f>IF(D109&gt;0,D87/D109,"n/a")</f>
        <v>0.50258417759109175</v>
      </c>
      <c r="E113" s="173"/>
      <c r="N113" s="577"/>
      <c r="O113" s="404"/>
    </row>
    <row r="114" spans="1:22" s="564" customFormat="1" ht="15.75" thickBot="1">
      <c r="C114" s="165" t="s">
        <v>816</v>
      </c>
      <c r="D114" s="172">
        <f>IF(D109&gt;0,(D101+D89)/D109,"n/a")</f>
        <v>0.49741582240890825</v>
      </c>
      <c r="E114" s="174"/>
      <c r="N114" s="577"/>
      <c r="O114" s="404"/>
    </row>
    <row r="115" spans="1:22" s="564" customFormat="1">
      <c r="N115" s="577"/>
      <c r="O115" s="404"/>
    </row>
    <row r="116" spans="1:22" s="564" customFormat="1">
      <c r="N116" s="577"/>
      <c r="O116" s="404"/>
    </row>
    <row r="117" spans="1:22" s="564" customFormat="1">
      <c r="N117" s="577"/>
      <c r="O117" s="404"/>
    </row>
    <row r="118" spans="1:22" s="564" customFormat="1">
      <c r="N118" s="577"/>
      <c r="O118" s="404"/>
    </row>
    <row r="119" spans="1:22" s="564" customFormat="1">
      <c r="N119" s="577"/>
      <c r="O119" s="404"/>
    </row>
    <row r="122" spans="1:22" ht="27.75">
      <c r="A122" s="75"/>
      <c r="B122" s="140"/>
      <c r="C122" s="206" t="s">
        <v>333</v>
      </c>
      <c r="D122" s="140"/>
      <c r="E122" s="140"/>
      <c r="F122" s="140"/>
      <c r="G122" s="140"/>
      <c r="H122" s="140"/>
      <c r="I122" s="140"/>
      <c r="J122" s="140"/>
      <c r="K122" s="140"/>
      <c r="L122" s="140"/>
      <c r="M122" s="140"/>
      <c r="N122" s="206"/>
      <c r="O122" s="140"/>
      <c r="P122" s="140"/>
      <c r="Q122" s="140"/>
      <c r="R122" s="75"/>
      <c r="S122" s="75"/>
      <c r="T122" s="75"/>
      <c r="U122" s="75"/>
      <c r="V122" s="75"/>
    </row>
    <row r="126" spans="1:22">
      <c r="C126" s="505" t="s">
        <v>186</v>
      </c>
      <c r="D126" s="505" t="s">
        <v>745</v>
      </c>
      <c r="E126" s="505"/>
      <c r="F126" s="505"/>
      <c r="G126" s="505"/>
      <c r="H126" s="505"/>
      <c r="I126" s="505"/>
      <c r="J126" s="505"/>
      <c r="K126" s="505"/>
      <c r="L126" s="505"/>
      <c r="M126" s="505"/>
      <c r="N126" s="505"/>
      <c r="O126" s="505"/>
    </row>
    <row r="127" spans="1:22">
      <c r="C127" s="505" t="s">
        <v>205</v>
      </c>
      <c r="D127" s="12">
        <f>'Solid fuels - emission calc.'!D21/100</f>
        <v>0.4</v>
      </c>
      <c r="E127" s="505" t="s">
        <v>206</v>
      </c>
      <c r="F127" s="505"/>
      <c r="G127" s="505"/>
      <c r="H127" s="505"/>
      <c r="I127" s="505"/>
      <c r="J127" s="505"/>
      <c r="K127" s="505"/>
      <c r="L127" s="505"/>
      <c r="M127" s="505"/>
      <c r="N127" s="505"/>
      <c r="O127" s="505"/>
    </row>
    <row r="128" spans="1:22" ht="15.75" thickBot="1">
      <c r="C128" s="505"/>
      <c r="D128" s="505"/>
      <c r="E128" s="10"/>
      <c r="F128" s="505"/>
      <c r="G128" s="505"/>
      <c r="H128" s="11"/>
      <c r="I128" s="505"/>
      <c r="J128" s="505"/>
      <c r="K128" s="505"/>
      <c r="L128" s="505"/>
      <c r="M128" s="505"/>
      <c r="N128" s="505"/>
      <c r="O128" s="505"/>
    </row>
    <row r="129" spans="3:15">
      <c r="C129" s="1144" t="s">
        <v>759</v>
      </c>
      <c r="D129" s="1146" t="s">
        <v>214</v>
      </c>
      <c r="E129" s="1096" t="s">
        <v>760</v>
      </c>
      <c r="F129" s="1096"/>
      <c r="G129" s="1096"/>
      <c r="H129" s="1096"/>
      <c r="I129" s="1096"/>
      <c r="J129" s="1096" t="s">
        <v>757</v>
      </c>
      <c r="K129" s="1148"/>
      <c r="L129" s="505"/>
      <c r="M129" s="505"/>
      <c r="N129" s="505"/>
      <c r="O129" s="505"/>
    </row>
    <row r="130" spans="3:15" ht="15.75" thickBot="1">
      <c r="C130" s="1145"/>
      <c r="D130" s="1147"/>
      <c r="E130" s="559" t="s">
        <v>143</v>
      </c>
      <c r="F130" s="559" t="s">
        <v>144</v>
      </c>
      <c r="G130" s="559" t="s">
        <v>199</v>
      </c>
      <c r="H130" s="559"/>
      <c r="I130" s="559" t="s">
        <v>755</v>
      </c>
      <c r="J130" s="560" t="s">
        <v>143</v>
      </c>
      <c r="K130" s="561" t="s">
        <v>144</v>
      </c>
      <c r="L130" s="505"/>
      <c r="M130" s="505"/>
      <c r="N130" s="505"/>
      <c r="O130" s="505"/>
    </row>
    <row r="131" spans="3:15">
      <c r="C131" s="570" t="s">
        <v>746</v>
      </c>
      <c r="D131" s="562">
        <v>2005</v>
      </c>
      <c r="E131" s="563">
        <v>23.8</v>
      </c>
      <c r="F131" s="563">
        <v>23.8</v>
      </c>
      <c r="G131" s="562" t="s">
        <v>752</v>
      </c>
      <c r="H131" s="546" t="s">
        <v>754</v>
      </c>
      <c r="I131" s="562" t="s">
        <v>756</v>
      </c>
      <c r="J131" s="563">
        <f>E131/0.684*550.8/468.2*0.4</f>
        <v>16.373569549675128</v>
      </c>
      <c r="K131" s="566">
        <f>F131/0.684*550.8/468.2*0.4</f>
        <v>16.373569549675128</v>
      </c>
      <c r="L131" s="505"/>
      <c r="M131" s="505"/>
      <c r="N131" s="505"/>
      <c r="O131" s="505"/>
    </row>
    <row r="132" spans="3:15">
      <c r="C132" s="571" t="s">
        <v>747</v>
      </c>
      <c r="D132" s="552">
        <v>2005</v>
      </c>
      <c r="E132" s="9">
        <v>28</v>
      </c>
      <c r="F132" s="9">
        <v>28</v>
      </c>
      <c r="G132" s="552" t="s">
        <v>752</v>
      </c>
      <c r="H132" s="402" t="s">
        <v>754</v>
      </c>
      <c r="I132" s="552" t="s">
        <v>756</v>
      </c>
      <c r="J132" s="9">
        <f>E132/0.684*550.8/468.2*0.4</f>
        <v>19.2630229996178</v>
      </c>
      <c r="K132" s="555">
        <f>F132/0.684*550.8/468.2*0.4</f>
        <v>19.2630229996178</v>
      </c>
      <c r="L132" s="505"/>
      <c r="M132" s="505"/>
      <c r="N132" s="505"/>
      <c r="O132" s="505"/>
    </row>
    <row r="133" spans="3:15">
      <c r="C133" s="571" t="s">
        <v>764</v>
      </c>
      <c r="D133" s="552">
        <v>2006</v>
      </c>
      <c r="E133" s="9">
        <v>53</v>
      </c>
      <c r="F133" s="9">
        <v>80</v>
      </c>
      <c r="G133" s="552" t="s">
        <v>753</v>
      </c>
      <c r="H133" s="402" t="s">
        <v>754</v>
      </c>
      <c r="I133" s="552" t="s">
        <v>756</v>
      </c>
      <c r="J133" s="9">
        <f t="shared" ref="J133:K135" si="0">E133/1.256*550.8/499.6*0.4</f>
        <v>18.608772368213042</v>
      </c>
      <c r="K133" s="555">
        <f t="shared" si="0"/>
        <v>28.088713008623458</v>
      </c>
      <c r="L133" s="505"/>
      <c r="M133" s="505"/>
      <c r="N133" s="505"/>
      <c r="O133" s="505"/>
    </row>
    <row r="134" spans="3:15">
      <c r="C134" s="571" t="s">
        <v>748</v>
      </c>
      <c r="D134" s="552">
        <v>2006</v>
      </c>
      <c r="E134" s="9">
        <v>60.5</v>
      </c>
      <c r="F134" s="9">
        <v>60.5</v>
      </c>
      <c r="G134" s="553" t="s">
        <v>753</v>
      </c>
      <c r="H134" s="402" t="s">
        <v>754</v>
      </c>
      <c r="I134" s="553" t="s">
        <v>756</v>
      </c>
      <c r="J134" s="9">
        <f t="shared" si="0"/>
        <v>21.242089212771489</v>
      </c>
      <c r="K134" s="555">
        <f t="shared" si="0"/>
        <v>21.242089212771489</v>
      </c>
    </row>
    <row r="135" spans="3:15">
      <c r="C135" s="571" t="s">
        <v>758</v>
      </c>
      <c r="D135" s="412">
        <v>2006</v>
      </c>
      <c r="E135" s="550">
        <v>60</v>
      </c>
      <c r="F135" s="550">
        <v>60</v>
      </c>
      <c r="G135" s="553" t="s">
        <v>753</v>
      </c>
      <c r="H135" s="402" t="s">
        <v>754</v>
      </c>
      <c r="I135" s="412" t="s">
        <v>756</v>
      </c>
      <c r="J135" s="9">
        <f t="shared" si="0"/>
        <v>21.066534756467593</v>
      </c>
      <c r="K135" s="555">
        <f t="shared" si="0"/>
        <v>21.066534756467593</v>
      </c>
    </row>
    <row r="136" spans="3:15">
      <c r="C136" s="571" t="s">
        <v>749</v>
      </c>
      <c r="D136" s="552">
        <v>2001</v>
      </c>
      <c r="E136" s="550">
        <v>36</v>
      </c>
      <c r="F136" s="552">
        <v>36</v>
      </c>
      <c r="G136" s="553" t="s">
        <v>753</v>
      </c>
      <c r="H136" s="402" t="s">
        <v>754</v>
      </c>
      <c r="I136" s="553" t="s">
        <v>756</v>
      </c>
      <c r="J136" s="9">
        <f>E136/0.896*550.8/394.6*0.4</f>
        <v>22.433205415972775</v>
      </c>
      <c r="K136" s="555">
        <f>F136/0.896*550.8/394.6*0.4</f>
        <v>22.433205415972775</v>
      </c>
    </row>
    <row r="137" spans="3:15">
      <c r="C137" s="571" t="s">
        <v>207</v>
      </c>
      <c r="D137" s="552">
        <v>1998</v>
      </c>
      <c r="E137" s="9">
        <v>50</v>
      </c>
      <c r="F137" s="9">
        <v>70</v>
      </c>
      <c r="G137" s="553" t="s">
        <v>753</v>
      </c>
      <c r="H137" s="402" t="s">
        <v>754</v>
      </c>
      <c r="I137" s="553" t="s">
        <v>756</v>
      </c>
      <c r="J137" s="9">
        <f>E137/1.121*550.8/389.5*0.4</f>
        <v>25.229628323326754</v>
      </c>
      <c r="K137" s="555">
        <f>F137/1.121*550.8/389.5*0.4</f>
        <v>35.321479652657452</v>
      </c>
    </row>
    <row r="138" spans="3:15">
      <c r="C138" s="571" t="s">
        <v>511</v>
      </c>
      <c r="D138" s="552">
        <v>2008</v>
      </c>
      <c r="E138" s="9">
        <v>19.7</v>
      </c>
      <c r="F138" s="9">
        <v>21</v>
      </c>
      <c r="G138" s="553" t="s">
        <v>123</v>
      </c>
      <c r="H138" s="402" t="s">
        <v>754</v>
      </c>
      <c r="I138" s="553" t="s">
        <v>761</v>
      </c>
      <c r="J138" s="9">
        <f>E138*550.8/575.4</f>
        <v>18.857768508863398</v>
      </c>
      <c r="K138" s="555">
        <f>F138*550.8/575.4</f>
        <v>20.102189781021899</v>
      </c>
      <c r="L138" s="551"/>
    </row>
    <row r="139" spans="3:15">
      <c r="C139" s="571" t="s">
        <v>750</v>
      </c>
      <c r="D139" s="552">
        <v>2007</v>
      </c>
      <c r="E139" s="9">
        <v>50</v>
      </c>
      <c r="F139" s="9">
        <v>50</v>
      </c>
      <c r="G139" s="553" t="s">
        <v>753</v>
      </c>
      <c r="H139" s="402" t="s">
        <v>754</v>
      </c>
      <c r="I139" s="553" t="s">
        <v>756</v>
      </c>
      <c r="J139" s="9">
        <f>E139/1.371*550.8/525.4</f>
        <v>38.232827088499413</v>
      </c>
      <c r="K139" s="555">
        <f>F139/1.371*550.8/525.4</f>
        <v>38.232827088499413</v>
      </c>
      <c r="L139" s="551"/>
    </row>
    <row r="140" spans="3:15">
      <c r="C140" s="571" t="s">
        <v>1159</v>
      </c>
      <c r="D140" s="412">
        <v>2010</v>
      </c>
      <c r="E140" s="550">
        <f>52948000/812000</f>
        <v>65.206896551724142</v>
      </c>
      <c r="F140" s="550">
        <f>71095000/812000</f>
        <v>87.555418719211829</v>
      </c>
      <c r="G140" s="553" t="s">
        <v>753</v>
      </c>
      <c r="H140" s="402" t="s">
        <v>754</v>
      </c>
      <c r="I140" s="553" t="s">
        <v>756</v>
      </c>
      <c r="J140" s="9">
        <f>E140/1.392*0.4</f>
        <v>18.737613951644871</v>
      </c>
      <c r="K140" s="555">
        <f>F140/1.392*0.4</f>
        <v>25.159603080233286</v>
      </c>
    </row>
    <row r="141" spans="3:15">
      <c r="C141" s="571" t="s">
        <v>207</v>
      </c>
      <c r="D141" s="552">
        <v>2000</v>
      </c>
      <c r="E141" s="40">
        <v>4.8</v>
      </c>
      <c r="F141" s="40">
        <v>45</v>
      </c>
      <c r="G141" s="552" t="s">
        <v>753</v>
      </c>
      <c r="H141" s="402" t="s">
        <v>754</v>
      </c>
      <c r="I141" s="552" t="s">
        <v>761</v>
      </c>
      <c r="J141" s="9">
        <f>E141/0.924*550.8/394.1</f>
        <v>7.2603367198647568</v>
      </c>
      <c r="K141" s="555">
        <f>F141/0.924*550.8/394.1</f>
        <v>68.065656748732096</v>
      </c>
    </row>
    <row r="142" spans="3:15" ht="15.75" thickBot="1">
      <c r="C142" s="572" t="s">
        <v>751</v>
      </c>
      <c r="D142" s="556">
        <v>2001</v>
      </c>
      <c r="E142" s="59">
        <v>3.9</v>
      </c>
      <c r="F142" s="59">
        <v>16.5</v>
      </c>
      <c r="G142" s="556" t="s">
        <v>753</v>
      </c>
      <c r="H142" s="4" t="s">
        <v>754</v>
      </c>
      <c r="I142" s="556" t="s">
        <v>761</v>
      </c>
      <c r="J142" s="557">
        <f>E142/0.896*550.8/394.3</f>
        <v>6.08028241730372</v>
      </c>
      <c r="K142" s="558">
        <f>F142/0.896*550.8/394.3</f>
        <v>25.724271765515738</v>
      </c>
    </row>
    <row r="148" spans="3:3">
      <c r="C148" s="215"/>
    </row>
  </sheetData>
  <mergeCells count="28">
    <mergeCell ref="R37:R39"/>
    <mergeCell ref="N80:O80"/>
    <mergeCell ref="N63:O63"/>
    <mergeCell ref="N58:O58"/>
    <mergeCell ref="N13:O13"/>
    <mergeCell ref="N31:O31"/>
    <mergeCell ref="N47:O47"/>
    <mergeCell ref="C32:E32"/>
    <mergeCell ref="N37:N39"/>
    <mergeCell ref="N35:Q35"/>
    <mergeCell ref="C40:E40"/>
    <mergeCell ref="N40:N42"/>
    <mergeCell ref="C103:E103"/>
    <mergeCell ref="N4:O4"/>
    <mergeCell ref="N87:O87"/>
    <mergeCell ref="N101:O101"/>
    <mergeCell ref="C129:C130"/>
    <mergeCell ref="D129:D130"/>
    <mergeCell ref="J129:K129"/>
    <mergeCell ref="E129:I129"/>
    <mergeCell ref="N92:O92"/>
    <mergeCell ref="C88:E88"/>
    <mergeCell ref="C78:E78"/>
    <mergeCell ref="C11:E11"/>
    <mergeCell ref="C16:E16"/>
    <mergeCell ref="N9:O9"/>
    <mergeCell ref="C55:E55"/>
    <mergeCell ref="C63:E63"/>
  </mergeCells>
  <conditionalFormatting sqref="C78">
    <cfRule type="expression" dxfId="4" priority="1">
      <formula>Method_2</formula>
    </cfRule>
  </conditionalFormatting>
  <dataValidations count="3">
    <dataValidation type="list" allowBlank="1" showInputMessage="1" showErrorMessage="1" sqref="D44:D45 D83:D84">
      <formula1>"Y,N"</formula1>
    </dataValidation>
    <dataValidation type="list" allowBlank="1" showInputMessage="1" showErrorMessage="1" sqref="D56">
      <formula1>$N$48:$N$55</formula1>
    </dataValidation>
    <dataValidation type="list" allowBlank="1" showInputMessage="1" showErrorMessage="1" sqref="D42">
      <formula1>"Pre-assembled unit,Field assembled unit"</formula1>
    </dataValidation>
  </dataValidation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dimension ref="A2:V109"/>
  <sheetViews>
    <sheetView topLeftCell="A73" workbookViewId="0">
      <selection activeCell="C20" sqref="C20"/>
    </sheetView>
  </sheetViews>
  <sheetFormatPr baseColWidth="10" defaultRowHeight="15"/>
  <cols>
    <col min="3" max="3" width="41.140625" customWidth="1"/>
    <col min="4" max="4" width="29.5703125" customWidth="1"/>
    <col min="5" max="5" width="15" customWidth="1"/>
    <col min="7" max="7" width="20.140625" bestFit="1" customWidth="1"/>
    <col min="8" max="8" width="7.42578125" customWidth="1"/>
    <col min="10" max="10" width="12" bestFit="1" customWidth="1"/>
    <col min="15" max="15" width="30.85546875" customWidth="1"/>
    <col min="16" max="16" width="35.42578125" customWidth="1"/>
    <col min="17" max="17" width="35.140625" customWidth="1"/>
    <col min="18" max="18" width="25.28515625" customWidth="1"/>
    <col min="19" max="21" width="20" customWidth="1"/>
    <col min="24" max="24" width="20" bestFit="1" customWidth="1"/>
  </cols>
  <sheetData>
    <row r="2" spans="1:22" s="351" customFormat="1" ht="27.75">
      <c r="A2" s="75"/>
      <c r="B2" s="75"/>
      <c r="C2" s="206" t="s">
        <v>425</v>
      </c>
      <c r="D2" s="140"/>
      <c r="E2" s="140"/>
      <c r="F2" s="140"/>
      <c r="G2" s="140"/>
      <c r="H2" s="140"/>
      <c r="I2" s="140"/>
      <c r="J2" s="140"/>
      <c r="K2" s="140"/>
      <c r="L2" s="140"/>
      <c r="M2" s="140"/>
      <c r="N2" s="206" t="s">
        <v>450</v>
      </c>
      <c r="O2" s="140"/>
      <c r="P2" s="140"/>
      <c r="Q2" s="140"/>
      <c r="R2" s="75"/>
      <c r="S2" s="76"/>
      <c r="T2" s="75"/>
      <c r="U2" s="75"/>
      <c r="V2" s="75"/>
    </row>
    <row r="3" spans="1:22" ht="15.75" thickBot="1"/>
    <row r="4" spans="1:22" ht="15" customHeight="1">
      <c r="A4" s="564"/>
      <c r="C4" s="602" t="s">
        <v>991</v>
      </c>
      <c r="D4" s="603"/>
      <c r="E4" s="301"/>
      <c r="O4" s="1050" t="s">
        <v>992</v>
      </c>
      <c r="P4" s="1051"/>
      <c r="Q4" s="601"/>
      <c r="R4" s="564"/>
    </row>
    <row r="5" spans="1:22" s="505" customFormat="1" ht="15" customHeight="1">
      <c r="A5" s="564"/>
      <c r="C5" s="80" t="s">
        <v>830</v>
      </c>
      <c r="D5" s="600">
        <v>-1</v>
      </c>
      <c r="E5" s="609" t="s">
        <v>831</v>
      </c>
      <c r="O5" s="80" t="s">
        <v>983</v>
      </c>
      <c r="P5" s="402"/>
      <c r="Q5" s="608"/>
      <c r="R5" s="547" t="s">
        <v>989</v>
      </c>
    </row>
    <row r="6" spans="1:22" s="564" customFormat="1" ht="15.75" thickBot="1">
      <c r="C6" s="86" t="s">
        <v>833</v>
      </c>
      <c r="D6" s="604">
        <v>4</v>
      </c>
      <c r="E6" s="610" t="s">
        <v>831</v>
      </c>
      <c r="O6" s="605" t="s">
        <v>984</v>
      </c>
      <c r="P6" s="402"/>
      <c r="Q6" s="433"/>
    </row>
    <row r="7" spans="1:22" ht="18" customHeight="1" thickBot="1">
      <c r="O7" s="86"/>
      <c r="P7" s="4"/>
      <c r="Q7" s="432"/>
      <c r="R7" s="564"/>
    </row>
    <row r="8" spans="1:22">
      <c r="C8" s="1050" t="s">
        <v>1186</v>
      </c>
      <c r="D8" s="1051"/>
      <c r="E8" s="1052"/>
    </row>
    <row r="9" spans="1:22">
      <c r="C9" s="705" t="s">
        <v>1177</v>
      </c>
      <c r="D9" s="706">
        <v>20</v>
      </c>
      <c r="E9" s="707" t="s">
        <v>994</v>
      </c>
    </row>
    <row r="10" spans="1:22">
      <c r="C10" s="158" t="s">
        <v>274</v>
      </c>
      <c r="D10" s="144">
        <f>(1-D9/'Solid fuels - emission calc.'!J108)*100</f>
        <v>99.878481923324486</v>
      </c>
      <c r="E10" s="619" t="s">
        <v>87</v>
      </c>
    </row>
    <row r="11" spans="1:22" ht="15.75" thickBot="1">
      <c r="C11" s="5" t="s">
        <v>1036</v>
      </c>
      <c r="D11" s="366">
        <f>+'Solid fuels - emission calc.'!J108</f>
        <v>16458.456673409371</v>
      </c>
      <c r="E11" s="619" t="s">
        <v>994</v>
      </c>
    </row>
    <row r="12" spans="1:22" ht="15.75" thickBot="1">
      <c r="G12" s="349"/>
      <c r="H12" s="347"/>
      <c r="I12" s="347"/>
      <c r="J12" s="359"/>
      <c r="O12" s="347"/>
    </row>
    <row r="13" spans="1:22" ht="15.75" thickBot="1">
      <c r="C13" s="1050" t="s">
        <v>708</v>
      </c>
      <c r="D13" s="1152"/>
      <c r="E13" s="1153"/>
      <c r="G13" s="347"/>
      <c r="O13" s="347"/>
    </row>
    <row r="14" spans="1:22" ht="15.75" thickBot="1">
      <c r="C14" s="1" t="s">
        <v>426</v>
      </c>
      <c r="D14" s="358" t="s">
        <v>95</v>
      </c>
      <c r="E14" s="3" t="s">
        <v>85</v>
      </c>
      <c r="G14" s="347"/>
      <c r="O14" s="1159" t="s">
        <v>707</v>
      </c>
      <c r="P14" s="1163"/>
      <c r="Q14" s="1163"/>
      <c r="R14" s="1160"/>
    </row>
    <row r="15" spans="1:22">
      <c r="C15" s="1" t="s">
        <v>429</v>
      </c>
      <c r="D15" s="675">
        <v>400</v>
      </c>
      <c r="E15" s="3" t="s">
        <v>430</v>
      </c>
      <c r="G15" s="347"/>
      <c r="O15" s="367" t="s">
        <v>265</v>
      </c>
      <c r="P15" s="368" t="s">
        <v>266</v>
      </c>
      <c r="Q15" s="368" t="s">
        <v>145</v>
      </c>
      <c r="R15" s="369" t="s">
        <v>436</v>
      </c>
      <c r="S15" s="568" t="s">
        <v>741</v>
      </c>
    </row>
    <row r="16" spans="1:22">
      <c r="C16" s="1" t="s">
        <v>444</v>
      </c>
      <c r="D16" s="361">
        <v>20</v>
      </c>
      <c r="E16" s="3" t="s">
        <v>431</v>
      </c>
      <c r="G16" s="347"/>
      <c r="O16" s="406" t="s">
        <v>429</v>
      </c>
      <c r="P16" s="402" t="s">
        <v>503</v>
      </c>
      <c r="Q16" s="402" t="s">
        <v>430</v>
      </c>
      <c r="R16" s="3"/>
    </row>
    <row r="17" spans="1:22">
      <c r="C17" s="1" t="s">
        <v>410</v>
      </c>
      <c r="D17" s="378">
        <f>1-D10/100</f>
        <v>1.2151807667550862E-3</v>
      </c>
      <c r="E17" s="379"/>
      <c r="G17" s="347"/>
      <c r="O17" s="406" t="s">
        <v>444</v>
      </c>
      <c r="P17" s="377" t="s">
        <v>501</v>
      </c>
      <c r="Q17" s="2" t="s">
        <v>431</v>
      </c>
      <c r="R17" s="3"/>
    </row>
    <row r="18" spans="1:22" ht="18.75" thickBot="1">
      <c r="C18" s="1" t="s">
        <v>434</v>
      </c>
      <c r="D18" s="380">
        <f>0.0000172*(D15/273)^0.71</f>
        <v>2.2558777530520898E-5</v>
      </c>
      <c r="E18" s="3" t="s">
        <v>432</v>
      </c>
      <c r="G18" s="347"/>
      <c r="O18" s="405" t="s">
        <v>437</v>
      </c>
      <c r="P18" s="371">
        <v>7.0000000000000007E-2</v>
      </c>
      <c r="Q18" s="2"/>
      <c r="R18" s="3"/>
    </row>
    <row r="19" spans="1:22">
      <c r="C19" s="1" t="s">
        <v>433</v>
      </c>
      <c r="D19" s="380">
        <f>630000*(273/D15)^1.65</f>
        <v>335436.20144866005</v>
      </c>
      <c r="E19" s="379" t="s">
        <v>435</v>
      </c>
      <c r="G19" s="374" t="s">
        <v>141</v>
      </c>
      <c r="H19" s="375" t="s">
        <v>411</v>
      </c>
      <c r="I19" s="376" t="s">
        <v>412</v>
      </c>
      <c r="O19" s="405" t="s">
        <v>438</v>
      </c>
      <c r="P19" s="371">
        <v>0.14000000000000001</v>
      </c>
      <c r="Q19" s="2"/>
      <c r="R19" s="3"/>
    </row>
    <row r="20" spans="1:22">
      <c r="C20" s="381" t="s">
        <v>413</v>
      </c>
      <c r="D20" s="380">
        <f>IF(D14="Y",0.7*D19/1.75,D19/1.75)</f>
        <v>191677.82939923432</v>
      </c>
      <c r="E20" s="379" t="s">
        <v>435</v>
      </c>
      <c r="G20" s="370">
        <v>1</v>
      </c>
      <c r="H20" s="527">
        <f>D16</f>
        <v>20</v>
      </c>
      <c r="I20" s="528">
        <f>-($D$18/$P$22)*(1-$P$18)*LN($D$23)/(H20*0.000001*$D$20^2)</f>
        <v>8.3085244747533604</v>
      </c>
      <c r="J20" s="347"/>
      <c r="O20" s="405" t="s">
        <v>439</v>
      </c>
      <c r="P20" s="371">
        <v>2</v>
      </c>
      <c r="Q20" s="2" t="s">
        <v>431</v>
      </c>
      <c r="R20" s="3"/>
    </row>
    <row r="21" spans="1:22">
      <c r="C21" s="381" t="s">
        <v>141</v>
      </c>
      <c r="D21" s="360">
        <f>INT(LN(D17)/LN(P23))+1</f>
        <v>5</v>
      </c>
      <c r="E21" s="3"/>
      <c r="G21" s="370">
        <v>2</v>
      </c>
      <c r="H21" s="529">
        <f>(H20*$P$18+((1-$D$23)*$P$20+$D$23*H20)*$D$23)/$D$24+$D$25</f>
        <v>8.647350399841951</v>
      </c>
      <c r="I21" s="528">
        <f>-($D$18/$P$22)*(1-$P$18)*LN($D$23)/(H21*0.000001*$D$20^2)</f>
        <v>19.216347414128649</v>
      </c>
      <c r="J21" s="347"/>
      <c r="O21" s="405" t="s">
        <v>442</v>
      </c>
      <c r="P21" s="371">
        <v>5</v>
      </c>
      <c r="Q21" s="2" t="s">
        <v>431</v>
      </c>
      <c r="R21" s="3"/>
    </row>
    <row r="22" spans="1:22">
      <c r="C22" s="381" t="s">
        <v>445</v>
      </c>
      <c r="D22" s="365">
        <f>D17^(1/D21)</f>
        <v>0.26117293971654831</v>
      </c>
      <c r="E22" s="3"/>
      <c r="G22" s="370">
        <v>3</v>
      </c>
      <c r="H22" s="529">
        <f>IF(D21&gt;2,(H21*$P$18+((1-$D$23)*$P$20+$D$23*H21)*$D$23)/$D$24+$D$25," ")</f>
        <v>5.3519671770445729</v>
      </c>
      <c r="I22" s="528">
        <f>IF(D21&gt;2,-($D$18/$P$22)*(1-$P$18)*LN($D$23)/(H22*0.000001*$D$20^2)," ")</f>
        <v>31.048488153626675</v>
      </c>
      <c r="J22" s="347"/>
      <c r="O22" s="405" t="s">
        <v>440</v>
      </c>
      <c r="P22" s="371">
        <v>8.8449999999999996E-12</v>
      </c>
      <c r="Q22" s="404" t="s">
        <v>502</v>
      </c>
      <c r="R22" s="3"/>
    </row>
    <row r="23" spans="1:22" ht="15.75" thickBot="1">
      <c r="C23" s="381" t="s">
        <v>446</v>
      </c>
      <c r="D23" s="365">
        <f>(D22-P23)/(1-P23)</f>
        <v>7.6235233454048881E-2</v>
      </c>
      <c r="E23" s="3"/>
      <c r="G23" s="370">
        <v>4</v>
      </c>
      <c r="H23" s="529">
        <f>IF(D21&gt;3,(H22*$P$18+((1-$D$23)*$P$20+$D$23*H22)*$D$23)/$D$24+$D$25," ")</f>
        <v>4.3954018845737082</v>
      </c>
      <c r="I23" s="528">
        <f>IF(D21&gt;3,-($D$18/$P$22)*(1-$P$18)*LN($D$23)/(H23*0.000001*$D$20^2)," ")</f>
        <v>37.805528108423104</v>
      </c>
      <c r="J23" s="346"/>
      <c r="O23" s="407" t="s">
        <v>441</v>
      </c>
      <c r="P23" s="373">
        <v>0.20020000000000002</v>
      </c>
      <c r="Q23" s="4"/>
      <c r="R23" s="357"/>
    </row>
    <row r="24" spans="1:22">
      <c r="C24" s="381" t="s">
        <v>443</v>
      </c>
      <c r="D24" s="365">
        <f>D22</f>
        <v>0.26117293971654831</v>
      </c>
      <c r="E24" s="3"/>
      <c r="G24" s="370">
        <v>5</v>
      </c>
      <c r="H24" s="529">
        <f>IF(D21&gt;4,(H23*$P$18+((1-$D$23)*$P$20+$D$23*H23)*$D$23)/$D$24+$D$25," ")</f>
        <v>4.1177354959030961</v>
      </c>
      <c r="I24" s="528">
        <f>IF(D21&gt;4,-($D$18/$P$22)*(1-$P$18)*LN($D$23)/(H24*0.000001*$D$20^2)," ")</f>
        <v>40.35482358213563</v>
      </c>
      <c r="J24" s="346"/>
      <c r="O24" s="350"/>
    </row>
    <row r="25" spans="1:22" ht="15.75" thickBot="1">
      <c r="C25" s="381" t="s">
        <v>414</v>
      </c>
      <c r="D25" s="365">
        <f>P19*(1-P18)*(1-D23)*P21/D24</f>
        <v>2.3025772259334509</v>
      </c>
      <c r="E25" s="3" t="s">
        <v>431</v>
      </c>
      <c r="G25" s="372">
        <v>6</v>
      </c>
      <c r="H25" s="530" t="str">
        <f>IF(D21&gt;5,(H24*$P$18+((1-$D$23)*$P$20+$D$23*H24)*$D$23)/$D$24+$D$25," ")</f>
        <v xml:space="preserve"> </v>
      </c>
      <c r="I25" s="531" t="str">
        <f>IF(D21&gt;5,-($D$18/$P$22)*(1-$P$18)*LN($D$23)/(H25*0.000001*$D$20^2)," ")</f>
        <v xml:space="preserve"> </v>
      </c>
      <c r="J25" s="346"/>
      <c r="O25" s="347"/>
    </row>
    <row r="26" spans="1:22">
      <c r="C26" s="381" t="s">
        <v>447</v>
      </c>
      <c r="D26" s="365">
        <f>SUM(I20:I25)</f>
        <v>136.73371173306742</v>
      </c>
      <c r="E26" s="3" t="s">
        <v>448</v>
      </c>
      <c r="O26" s="347"/>
    </row>
    <row r="27" spans="1:22" ht="18.75">
      <c r="C27" s="130" t="s">
        <v>682</v>
      </c>
      <c r="D27" s="674">
        <f>'Solid fuels - emission calc.'!J102/'Solid fuels - emission calc.'!J97*'Solid fuels - emission calc.'!D20</f>
        <v>414.06720716502139</v>
      </c>
      <c r="E27" s="658" t="s">
        <v>1087</v>
      </c>
      <c r="O27" s="347"/>
    </row>
    <row r="28" spans="1:22" ht="18.75" thickBot="1">
      <c r="C28" s="541" t="s">
        <v>718</v>
      </c>
      <c r="D28" s="539">
        <f>D26*('Solid fuels - emission calc.'!J103/(8760*'Solid fuels - emission calc.'!G33/100*3600))</f>
        <v>56616.946142618333</v>
      </c>
      <c r="E28" s="540" t="s">
        <v>428</v>
      </c>
      <c r="O28" s="347"/>
    </row>
    <row r="29" spans="1:22">
      <c r="D29" s="348"/>
      <c r="O29" s="347"/>
    </row>
    <row r="30" spans="1:22">
      <c r="D30" s="348"/>
      <c r="O30" s="347"/>
    </row>
    <row r="31" spans="1:22" s="351" customFormat="1" ht="27.75">
      <c r="A31" s="75"/>
      <c r="B31" s="140"/>
      <c r="C31" s="206" t="s">
        <v>184</v>
      </c>
      <c r="D31" s="140"/>
      <c r="E31" s="140"/>
      <c r="F31" s="140"/>
      <c r="G31" s="140"/>
      <c r="H31" s="140"/>
      <c r="I31" s="140"/>
      <c r="J31" s="140"/>
      <c r="K31" s="140"/>
      <c r="L31" s="140"/>
      <c r="M31" s="140"/>
      <c r="N31" s="206" t="s">
        <v>328</v>
      </c>
      <c r="O31" s="140"/>
      <c r="P31" s="140"/>
      <c r="Q31" s="140"/>
      <c r="R31" s="75"/>
      <c r="S31" s="75"/>
      <c r="T31" s="75"/>
      <c r="U31" s="75"/>
      <c r="V31" s="75"/>
    </row>
    <row r="32" spans="1:22">
      <c r="D32" s="348"/>
      <c r="O32" s="347"/>
    </row>
    <row r="33" spans="1:21" ht="15.75" thickBot="1">
      <c r="D33" s="348"/>
    </row>
    <row r="34" spans="1:21" ht="15.75" thickBot="1">
      <c r="C34" s="1050" t="s">
        <v>184</v>
      </c>
      <c r="D34" s="1152"/>
      <c r="E34" s="1153"/>
    </row>
    <row r="35" spans="1:21" ht="15.75" thickBot="1">
      <c r="C35" s="80" t="s">
        <v>451</v>
      </c>
      <c r="D35" s="134">
        <f>D10/100*'Solid fuels - emission calc.'!J108/'Solid fuels - emission calc.'!J105*'Solid fuels - emission calc.'!J103/10^9</f>
        <v>246413.2880644738</v>
      </c>
      <c r="E35" s="142" t="s">
        <v>115</v>
      </c>
      <c r="P35" s="1159" t="s">
        <v>712</v>
      </c>
      <c r="Q35" s="1163"/>
      <c r="R35" s="1160"/>
    </row>
    <row r="36" spans="1:21" ht="15.75" thickBot="1">
      <c r="C36" s="1" t="s">
        <v>452</v>
      </c>
      <c r="D36" s="358" t="s">
        <v>278</v>
      </c>
      <c r="E36" s="433" t="s">
        <v>85</v>
      </c>
      <c r="O36" s="351"/>
      <c r="P36" s="535" t="s">
        <v>449</v>
      </c>
      <c r="Q36" s="536" t="s">
        <v>158</v>
      </c>
      <c r="R36" s="537" t="s">
        <v>352</v>
      </c>
      <c r="S36" s="569" t="s">
        <v>769</v>
      </c>
    </row>
    <row r="37" spans="1:21" ht="18">
      <c r="C37" s="423" t="s">
        <v>427</v>
      </c>
      <c r="D37" s="507">
        <f>D28</f>
        <v>56616.946142618333</v>
      </c>
      <c r="E37" s="433" t="s">
        <v>428</v>
      </c>
      <c r="G37" s="416"/>
      <c r="H37" s="416"/>
      <c r="O37" s="1164" t="s">
        <v>415</v>
      </c>
      <c r="P37" s="522" t="s">
        <v>466</v>
      </c>
      <c r="Q37" s="383">
        <v>3495.6800000000003</v>
      </c>
      <c r="R37" s="384">
        <v>0.62749999999999995</v>
      </c>
      <c r="T37" s="352" t="s">
        <v>415</v>
      </c>
      <c r="U37" s="353">
        <v>1</v>
      </c>
    </row>
    <row r="38" spans="1:21" ht="15.75" thickBot="1">
      <c r="C38" s="1" t="s">
        <v>158</v>
      </c>
      <c r="D38" s="360">
        <f>IF(D36="N",IF(D37&lt;=4645,Q37,Q38),IF(D37&lt;=4645,Q39,Q40))</f>
        <v>796.16</v>
      </c>
      <c r="E38" s="379" t="s">
        <v>454</v>
      </c>
      <c r="G38" s="414"/>
      <c r="O38" s="1161"/>
      <c r="P38" s="522" t="s">
        <v>465</v>
      </c>
      <c r="Q38" s="383">
        <v>549.12</v>
      </c>
      <c r="R38" s="384">
        <v>0.84309999999999996</v>
      </c>
      <c r="T38" s="354" t="s">
        <v>416</v>
      </c>
      <c r="U38" s="355">
        <v>2</v>
      </c>
    </row>
    <row r="39" spans="1:21">
      <c r="C39" s="423" t="s">
        <v>352</v>
      </c>
      <c r="D39" s="360">
        <f>IF(D36="N",IF(D37&lt;=4645,R37,R38),IF(D37&lt;=4645,R39,R40))</f>
        <v>0.84309999999999996</v>
      </c>
      <c r="E39" s="433"/>
      <c r="G39" s="416"/>
      <c r="O39" s="1161" t="s">
        <v>416</v>
      </c>
      <c r="P39" s="522" t="s">
        <v>466</v>
      </c>
      <c r="Q39" s="383">
        <v>5068.8</v>
      </c>
      <c r="R39" s="384">
        <v>0.62760000000000005</v>
      </c>
      <c r="T39" s="382"/>
    </row>
    <row r="40" spans="1:21" ht="15.75" thickBot="1">
      <c r="C40" s="423" t="s">
        <v>453</v>
      </c>
      <c r="D40" s="361" t="s">
        <v>419</v>
      </c>
      <c r="E40" s="433"/>
      <c r="G40" s="505"/>
      <c r="O40" s="1162"/>
      <c r="P40" s="523" t="s">
        <v>465</v>
      </c>
      <c r="Q40" s="385">
        <v>796.16</v>
      </c>
      <c r="R40" s="386">
        <v>0.84309999999999996</v>
      </c>
      <c r="T40" s="382"/>
    </row>
    <row r="41" spans="1:21">
      <c r="C41" s="80"/>
      <c r="D41" s="146"/>
      <c r="E41" s="142"/>
    </row>
    <row r="42" spans="1:21" ht="15.75" thickBot="1">
      <c r="C42" s="423" t="s">
        <v>689</v>
      </c>
      <c r="D42" s="358" t="s">
        <v>278</v>
      </c>
      <c r="E42" s="433"/>
    </row>
    <row r="43" spans="1:21" ht="15.75" thickBot="1">
      <c r="C43" s="80" t="s">
        <v>772</v>
      </c>
      <c r="D43" s="506">
        <f>(D38*D37^D39*VLOOKUP(D40,$P$45:$Q$51,2,FALSE)+IF(D42="Y",1.6*1000*'Solid fuels - emission calc.'!D20))*(1+SUM(Q62:Q63))</f>
        <v>14401820.049152879</v>
      </c>
      <c r="E43" s="142" t="s">
        <v>123</v>
      </c>
      <c r="P43" s="1157" t="s">
        <v>713</v>
      </c>
      <c r="Q43" s="1158"/>
      <c r="R43" s="547" t="s">
        <v>744</v>
      </c>
    </row>
    <row r="44" spans="1:21">
      <c r="C44" s="80" t="s">
        <v>773</v>
      </c>
      <c r="D44" s="506">
        <f>D43*SUM(Q66:Q71)</f>
        <v>9649219.432932429</v>
      </c>
      <c r="E44" s="142" t="s">
        <v>123</v>
      </c>
      <c r="P44" s="374" t="s">
        <v>417</v>
      </c>
      <c r="Q44" s="376" t="s">
        <v>216</v>
      </c>
    </row>
    <row r="45" spans="1:21">
      <c r="C45" s="80" t="s">
        <v>774</v>
      </c>
      <c r="D45" s="506">
        <f>D43*SUM(Q74:Q80)</f>
        <v>8209037.4280171422</v>
      </c>
      <c r="E45" s="142" t="s">
        <v>123</v>
      </c>
      <c r="G45" s="564"/>
      <c r="P45" s="370" t="s">
        <v>418</v>
      </c>
      <c r="Q45" s="387">
        <v>1</v>
      </c>
    </row>
    <row r="46" spans="1:21">
      <c r="C46" s="700" t="s">
        <v>1180</v>
      </c>
      <c r="D46" s="361" t="s">
        <v>95</v>
      </c>
      <c r="E46" s="379" t="s">
        <v>85</v>
      </c>
      <c r="F46" s="525"/>
      <c r="G46" s="564"/>
      <c r="H46" s="526"/>
      <c r="P46" s="370" t="s">
        <v>419</v>
      </c>
      <c r="Q46" s="660">
        <v>1.3</v>
      </c>
    </row>
    <row r="47" spans="1:21" s="564" customFormat="1">
      <c r="C47" s="80" t="s">
        <v>990</v>
      </c>
      <c r="D47" s="361" t="s">
        <v>278</v>
      </c>
      <c r="E47" s="379" t="s">
        <v>85</v>
      </c>
      <c r="F47" s="525"/>
      <c r="H47" s="526"/>
      <c r="P47" s="370" t="s">
        <v>420</v>
      </c>
      <c r="Q47" s="387">
        <v>1.7</v>
      </c>
    </row>
    <row r="48" spans="1:21">
      <c r="A48" s="564"/>
      <c r="F48" s="525"/>
      <c r="G48" s="564"/>
      <c r="P48" s="370" t="s">
        <v>421</v>
      </c>
      <c r="Q48" s="387">
        <v>1.9</v>
      </c>
    </row>
    <row r="49" spans="1:19">
      <c r="C49" s="80" t="s">
        <v>125</v>
      </c>
      <c r="D49" s="506">
        <f>D45+D44+D43*IF(D46="N",1.4,1)</f>
        <v>38020804.9297636</v>
      </c>
      <c r="E49" s="142" t="s">
        <v>123</v>
      </c>
      <c r="G49" s="564"/>
      <c r="P49" s="370" t="s">
        <v>422</v>
      </c>
      <c r="Q49" s="387">
        <v>2.2999999999999998</v>
      </c>
    </row>
    <row r="50" spans="1:19">
      <c r="C50" s="397" t="s">
        <v>34</v>
      </c>
      <c r="D50" s="398">
        <f>D49*'Solid fuels - emission calc.'!$J$5</f>
        <v>3419633.0323730581</v>
      </c>
      <c r="E50" s="143" t="s">
        <v>126</v>
      </c>
      <c r="G50" s="564"/>
      <c r="P50" s="370" t="s">
        <v>423</v>
      </c>
      <c r="Q50" s="387">
        <v>3.2</v>
      </c>
    </row>
    <row r="51" spans="1:19" ht="15.75" thickBot="1">
      <c r="C51" s="1100" t="s">
        <v>33</v>
      </c>
      <c r="D51" s="1101"/>
      <c r="E51" s="1102"/>
      <c r="G51" s="564"/>
      <c r="P51" s="372" t="s">
        <v>424</v>
      </c>
      <c r="Q51" s="388">
        <v>4.5</v>
      </c>
    </row>
    <row r="52" spans="1:19">
      <c r="C52" s="397" t="s">
        <v>30</v>
      </c>
      <c r="D52" s="398">
        <f>D49*'Solid fuels - emission calc.'!$G$4</f>
        <v>760416.09859527205</v>
      </c>
      <c r="E52" s="143" t="s">
        <v>126</v>
      </c>
      <c r="G52" s="505"/>
    </row>
    <row r="53" spans="1:19" s="564" customFormat="1">
      <c r="C53" s="397" t="s">
        <v>986</v>
      </c>
      <c r="D53" s="398"/>
      <c r="E53" s="143"/>
      <c r="P53" s="412"/>
      <c r="Q53" s="412"/>
    </row>
    <row r="54" spans="1:19">
      <c r="C54" s="119" t="s">
        <v>458</v>
      </c>
      <c r="D54" s="361">
        <v>25</v>
      </c>
      <c r="E54" s="117" t="s">
        <v>16</v>
      </c>
    </row>
    <row r="55" spans="1:19" ht="15.75" thickBot="1">
      <c r="C55" s="119" t="s">
        <v>460</v>
      </c>
      <c r="D55" s="396">
        <v>0.65</v>
      </c>
      <c r="E55" s="117" t="s">
        <v>87</v>
      </c>
    </row>
    <row r="56" spans="1:19">
      <c r="C56" s="119" t="s">
        <v>455</v>
      </c>
      <c r="D56" s="394">
        <f>'Solid fuels - emission calc.'!K35*D54/D55*D27*3600</f>
        <v>1.5846654278462899</v>
      </c>
      <c r="E56" s="115" t="s">
        <v>52</v>
      </c>
      <c r="P56" s="1157" t="s">
        <v>714</v>
      </c>
      <c r="Q56" s="1158"/>
    </row>
    <row r="57" spans="1:19">
      <c r="C57" s="119" t="s">
        <v>456</v>
      </c>
      <c r="D57" s="394">
        <f>D37*0.0000209</f>
        <v>1.1832941743807233</v>
      </c>
      <c r="E57" s="115" t="s">
        <v>52</v>
      </c>
      <c r="P57" s="390" t="s">
        <v>457</v>
      </c>
      <c r="Q57" s="391" t="s">
        <v>463</v>
      </c>
      <c r="R57" s="547" t="s">
        <v>768</v>
      </c>
    </row>
    <row r="58" spans="1:19" ht="15.75" thickBot="1">
      <c r="C58" s="399" t="s">
        <v>985</v>
      </c>
      <c r="D58" s="401">
        <f>(D56+D57)*'Solid fuels - emission calc.'!K33*'Solid fuels - emission calc.'!G33/100*8760</f>
        <v>1454839.5669305183</v>
      </c>
      <c r="E58" s="400" t="s">
        <v>126</v>
      </c>
      <c r="P58" s="392" t="s">
        <v>462</v>
      </c>
      <c r="Q58" s="393" t="s">
        <v>461</v>
      </c>
      <c r="R58" s="547" t="s">
        <v>744</v>
      </c>
    </row>
    <row r="59" spans="1:19">
      <c r="C59" s="1" t="str">
        <f>IF(D42="Y","SO3 injection rate"," ")</f>
        <v>SO3 injection rate</v>
      </c>
      <c r="D59" s="361">
        <v>35</v>
      </c>
      <c r="E59" s="433" t="str">
        <f>IF(D42="Y","kg/h"," ")</f>
        <v>kg/h</v>
      </c>
      <c r="R59" s="547"/>
      <c r="S59" s="505"/>
    </row>
    <row r="60" spans="1:19" ht="15.75" thickBot="1">
      <c r="C60" s="399" t="str">
        <f>IF(D42="Y","SO3 consumption cost"," ")</f>
        <v>SO3 consumption cost</v>
      </c>
      <c r="D60" s="401">
        <f>IF(D42="Y",D59/1000*8760*'Solid fuels - emission calc.'!G33/100*Q84," ")</f>
        <v>21462</v>
      </c>
      <c r="E60" s="400" t="str">
        <f>IF(D42="Y","€/a"," ")</f>
        <v>€/a</v>
      </c>
      <c r="R60" s="547" t="s">
        <v>767</v>
      </c>
    </row>
    <row r="61" spans="1:19">
      <c r="A61" s="564"/>
      <c r="C61" s="397" t="s">
        <v>988</v>
      </c>
      <c r="D61" s="607">
        <f>IF(D47="Y",D35*D5,D35*D6)</f>
        <v>-246413.2880644738</v>
      </c>
      <c r="E61" s="400" t="s">
        <v>126</v>
      </c>
      <c r="P61" s="1142" t="s">
        <v>789</v>
      </c>
      <c r="Q61" s="1143"/>
      <c r="R61" s="547"/>
    </row>
    <row r="62" spans="1:19">
      <c r="A62" s="564"/>
      <c r="C62" s="666" t="s">
        <v>1095</v>
      </c>
      <c r="D62" s="401">
        <f>IF(D42="Y",D52+D58+D60+D61,D52+D58+D61)</f>
        <v>1990304.3774613165</v>
      </c>
      <c r="E62" s="143" t="s">
        <v>126</v>
      </c>
      <c r="P62" s="574" t="s">
        <v>776</v>
      </c>
      <c r="Q62" s="433">
        <v>0.1</v>
      </c>
      <c r="R62" s="547"/>
    </row>
    <row r="63" spans="1:19" ht="15.75" thickBot="1">
      <c r="A63" s="564"/>
      <c r="C63" s="668"/>
      <c r="D63" s="669"/>
      <c r="E63" s="670"/>
      <c r="P63" s="430" t="s">
        <v>777</v>
      </c>
      <c r="Q63" s="432">
        <v>0.05</v>
      </c>
      <c r="R63" s="547"/>
    </row>
    <row r="64" spans="1:19" ht="15.75" thickBot="1">
      <c r="C64" s="1139" t="s">
        <v>1089</v>
      </c>
      <c r="D64" s="1140"/>
      <c r="E64" s="1141"/>
      <c r="R64" s="547"/>
    </row>
    <row r="65" spans="3:18">
      <c r="C65" s="149" t="s">
        <v>1090</v>
      </c>
      <c r="D65" s="216">
        <f>+D35</f>
        <v>246413.2880644738</v>
      </c>
      <c r="E65" s="150" t="s">
        <v>1092</v>
      </c>
      <c r="P65" s="1142" t="s">
        <v>786</v>
      </c>
      <c r="Q65" s="1143"/>
      <c r="R65" s="547"/>
    </row>
    <row r="66" spans="3:18" ht="16.5">
      <c r="C66" s="149" t="s">
        <v>1102</v>
      </c>
      <c r="D66" s="216">
        <f>+D11</f>
        <v>16458.456673409371</v>
      </c>
      <c r="E66" s="582" t="s">
        <v>1093</v>
      </c>
      <c r="P66" s="514" t="s">
        <v>504</v>
      </c>
      <c r="Q66" s="426">
        <v>0.04</v>
      </c>
      <c r="R66" s="547"/>
    </row>
    <row r="67" spans="3:18" ht="16.5">
      <c r="C67" s="149" t="s">
        <v>1101</v>
      </c>
      <c r="D67" s="216">
        <f>+D9</f>
        <v>20</v>
      </c>
      <c r="E67" s="582" t="s">
        <v>1094</v>
      </c>
      <c r="P67" s="514" t="s">
        <v>505</v>
      </c>
      <c r="Q67" s="426">
        <v>0.5</v>
      </c>
      <c r="R67" s="547"/>
    </row>
    <row r="68" spans="3:18">
      <c r="C68" s="149" t="s">
        <v>1039</v>
      </c>
      <c r="D68" s="621">
        <f>+D10</f>
        <v>99.878481923324486</v>
      </c>
      <c r="E68" s="150" t="s">
        <v>87</v>
      </c>
      <c r="P68" s="514" t="s">
        <v>506</v>
      </c>
      <c r="Q68" s="426">
        <v>0.08</v>
      </c>
    </row>
    <row r="69" spans="3:18">
      <c r="C69" s="149" t="s">
        <v>906</v>
      </c>
      <c r="D69" s="216">
        <f>+D49</f>
        <v>38020804.9297636</v>
      </c>
      <c r="E69" s="150" t="s">
        <v>123</v>
      </c>
      <c r="P69" s="514" t="s">
        <v>507</v>
      </c>
      <c r="Q69" s="426">
        <v>0.01</v>
      </c>
    </row>
    <row r="70" spans="3:18">
      <c r="C70" s="149" t="s">
        <v>879</v>
      </c>
      <c r="D70" s="216">
        <f>+D62+D50</f>
        <v>5409937.4098343747</v>
      </c>
      <c r="E70" s="150" t="s">
        <v>877</v>
      </c>
      <c r="P70" s="514" t="s">
        <v>508</v>
      </c>
      <c r="Q70" s="426">
        <v>0.02</v>
      </c>
    </row>
    <row r="71" spans="3:18" ht="15.75" thickBot="1">
      <c r="C71" s="149" t="s">
        <v>1091</v>
      </c>
      <c r="D71" s="216">
        <f>+D70/D65</f>
        <v>21.954730819625563</v>
      </c>
      <c r="E71" s="150" t="s">
        <v>1096</v>
      </c>
      <c r="P71" s="428" t="s">
        <v>509</v>
      </c>
      <c r="Q71" s="427">
        <v>0.02</v>
      </c>
    </row>
    <row r="72" spans="3:18" s="564" customFormat="1" ht="15.75" thickBot="1">
      <c r="C72" s="149" t="s">
        <v>908</v>
      </c>
      <c r="D72" s="216">
        <f>+D69/('Solid fuels - emission calc.'!D$20*1000)</f>
        <v>30.416643943810879</v>
      </c>
      <c r="E72" s="150" t="s">
        <v>303</v>
      </c>
    </row>
    <row r="73" spans="3:18" s="564" customFormat="1">
      <c r="C73" s="149" t="s">
        <v>813</v>
      </c>
      <c r="D73" s="621">
        <f>(D56)/('Solid fuels - emission calc.'!D$20*'Solid fuels - emission calc.'!D$21/100)*100</f>
        <v>0.31693308556925798</v>
      </c>
      <c r="E73" s="150" t="s">
        <v>87</v>
      </c>
      <c r="P73" s="1142" t="s">
        <v>787</v>
      </c>
      <c r="Q73" s="1143"/>
    </row>
    <row r="74" spans="3:18" s="564" customFormat="1">
      <c r="C74" s="141" t="s">
        <v>815</v>
      </c>
      <c r="D74" s="171">
        <f>IF(D70&gt;0,D50/D70,"n/a")</f>
        <v>0.63210214339203419</v>
      </c>
      <c r="E74" s="173"/>
      <c r="P74" s="431" t="s">
        <v>779</v>
      </c>
      <c r="Q74" s="433">
        <v>0.2</v>
      </c>
    </row>
    <row r="75" spans="3:18" ht="15.75" thickBot="1">
      <c r="C75" s="165" t="s">
        <v>816</v>
      </c>
      <c r="D75" s="172">
        <f>IF(D70&gt;0,(D62)/D70,"n/a")</f>
        <v>0.36789785660796576</v>
      </c>
      <c r="E75" s="174"/>
      <c r="P75" s="431" t="s">
        <v>790</v>
      </c>
      <c r="Q75" s="433">
        <v>0.2</v>
      </c>
    </row>
    <row r="76" spans="3:18" s="564" customFormat="1">
      <c r="P76" s="431" t="s">
        <v>781</v>
      </c>
      <c r="Q76" s="433">
        <v>0.1</v>
      </c>
    </row>
    <row r="77" spans="3:18" s="564" customFormat="1">
      <c r="P77" s="574" t="s">
        <v>782</v>
      </c>
      <c r="Q77" s="379">
        <v>0.01</v>
      </c>
    </row>
    <row r="78" spans="3:18" s="564" customFormat="1">
      <c r="P78" s="574" t="s">
        <v>783</v>
      </c>
      <c r="Q78" s="379">
        <v>0.01</v>
      </c>
    </row>
    <row r="79" spans="3:18" s="564" customFormat="1">
      <c r="P79" s="574" t="s">
        <v>791</v>
      </c>
      <c r="Q79" s="379">
        <v>0.02</v>
      </c>
    </row>
    <row r="80" spans="3:18" ht="15.75" thickBot="1">
      <c r="P80" s="430" t="s">
        <v>784</v>
      </c>
      <c r="Q80" s="364">
        <v>0.03</v>
      </c>
    </row>
    <row r="81" spans="1:22" s="564" customFormat="1" ht="15.75" thickBot="1">
      <c r="P81" s="577"/>
      <c r="Q81" s="404"/>
    </row>
    <row r="82" spans="1:22" s="564" customFormat="1">
      <c r="P82" s="1142" t="s">
        <v>785</v>
      </c>
      <c r="Q82" s="1143"/>
      <c r="R82" s="547" t="s">
        <v>737</v>
      </c>
    </row>
    <row r="83" spans="1:22">
      <c r="P83" s="370" t="s">
        <v>720</v>
      </c>
      <c r="Q83" s="524" t="s">
        <v>719</v>
      </c>
    </row>
    <row r="84" spans="1:22" s="564" customFormat="1" ht="15.75" thickBot="1">
      <c r="P84" s="372" t="s">
        <v>690</v>
      </c>
      <c r="Q84" s="427">
        <v>70</v>
      </c>
      <c r="R84"/>
    </row>
    <row r="85" spans="1:22">
      <c r="P85" s="564"/>
      <c r="Q85" s="564"/>
    </row>
    <row r="86" spans="1:22" ht="27.75">
      <c r="A86" s="75"/>
      <c r="B86" s="140"/>
      <c r="C86" s="206" t="s">
        <v>333</v>
      </c>
      <c r="D86" s="140"/>
      <c r="E86" s="140"/>
      <c r="F86" s="140"/>
      <c r="G86" s="140"/>
      <c r="H86" s="140"/>
      <c r="I86" s="140"/>
      <c r="J86" s="140"/>
      <c r="K86" s="140"/>
      <c r="L86" s="140"/>
      <c r="M86" s="140"/>
      <c r="N86" s="206"/>
      <c r="O86" s="140"/>
      <c r="P86" s="140"/>
      <c r="Q86" s="140"/>
      <c r="R86" s="75"/>
      <c r="S86" s="75"/>
      <c r="T86" s="75"/>
      <c r="U86" s="75"/>
      <c r="V86" s="75"/>
    </row>
    <row r="89" spans="1:22">
      <c r="C89" s="564" t="s">
        <v>186</v>
      </c>
      <c r="D89" s="564" t="s">
        <v>745</v>
      </c>
      <c r="E89" s="564"/>
      <c r="F89" s="564"/>
      <c r="G89" s="564"/>
      <c r="H89" s="564"/>
      <c r="I89" s="564"/>
      <c r="J89" s="564"/>
      <c r="K89" s="564"/>
    </row>
    <row r="90" spans="1:22">
      <c r="C90" s="564" t="s">
        <v>205</v>
      </c>
      <c r="D90" s="12">
        <f>'Solid fuels - emission calc.'!D21/100</f>
        <v>0.4</v>
      </c>
      <c r="E90" s="564" t="s">
        <v>206</v>
      </c>
      <c r="F90" s="564"/>
      <c r="G90" s="564"/>
      <c r="H90" s="564"/>
      <c r="I90" s="564"/>
      <c r="J90" s="564"/>
      <c r="K90" s="564"/>
    </row>
    <row r="91" spans="1:22" ht="15.75" thickBot="1">
      <c r="C91" s="564"/>
      <c r="D91" s="564"/>
      <c r="E91" s="10"/>
      <c r="F91" s="564"/>
      <c r="G91" s="564"/>
      <c r="H91" s="565"/>
      <c r="I91" s="564"/>
      <c r="J91" s="564"/>
      <c r="K91" s="564"/>
    </row>
    <row r="92" spans="1:22">
      <c r="C92" s="1144" t="s">
        <v>759</v>
      </c>
      <c r="D92" s="1146" t="s">
        <v>214</v>
      </c>
      <c r="E92" s="1096" t="s">
        <v>760</v>
      </c>
      <c r="F92" s="1096"/>
      <c r="G92" s="1096"/>
      <c r="H92" s="1096"/>
      <c r="I92" s="1096"/>
      <c r="J92" s="1096" t="s">
        <v>757</v>
      </c>
      <c r="K92" s="1148"/>
    </row>
    <row r="93" spans="1:22" ht="15.75" thickBot="1">
      <c r="C93" s="1165"/>
      <c r="D93" s="1166"/>
      <c r="E93" s="41" t="s">
        <v>143</v>
      </c>
      <c r="F93" s="41" t="s">
        <v>144</v>
      </c>
      <c r="G93" s="41" t="s">
        <v>199</v>
      </c>
      <c r="H93" s="41"/>
      <c r="I93" s="41" t="s">
        <v>755</v>
      </c>
      <c r="J93" s="47" t="s">
        <v>143</v>
      </c>
      <c r="K93" s="554" t="s">
        <v>144</v>
      </c>
    </row>
    <row r="94" spans="1:22">
      <c r="B94" s="564"/>
      <c r="C94" s="570" t="s">
        <v>746</v>
      </c>
      <c r="D94" s="562">
        <v>2005</v>
      </c>
      <c r="E94" s="563">
        <v>17.3</v>
      </c>
      <c r="F94" s="563">
        <v>17.3</v>
      </c>
      <c r="G94" s="562" t="s">
        <v>752</v>
      </c>
      <c r="H94" s="546" t="s">
        <v>754</v>
      </c>
      <c r="I94" s="562" t="s">
        <v>756</v>
      </c>
      <c r="J94" s="563">
        <f>E94/0.684*550.8/468.2*0.4</f>
        <v>11.90179635333528</v>
      </c>
      <c r="K94" s="566">
        <f>F94/0.684*550.8/468.2*0.4</f>
        <v>11.90179635333528</v>
      </c>
    </row>
    <row r="95" spans="1:22">
      <c r="B95" s="564"/>
      <c r="C95" s="571" t="s">
        <v>747</v>
      </c>
      <c r="D95" s="552">
        <v>2005</v>
      </c>
      <c r="E95" s="9">
        <v>32</v>
      </c>
      <c r="F95" s="9">
        <v>36</v>
      </c>
      <c r="G95" s="552" t="s">
        <v>752</v>
      </c>
      <c r="H95" s="402" t="s">
        <v>754</v>
      </c>
      <c r="I95" s="552" t="s">
        <v>756</v>
      </c>
      <c r="J95" s="9">
        <f>E95/0.684*550.8/468.2*0.4</f>
        <v>22.014883428134624</v>
      </c>
      <c r="K95" s="555">
        <f>F95/0.684*550.8/468.2*0.4</f>
        <v>24.766743856651452</v>
      </c>
      <c r="O95" s="347"/>
      <c r="P95" s="347"/>
      <c r="Q95" s="347"/>
      <c r="R95" s="347"/>
      <c r="S95" s="347"/>
    </row>
    <row r="96" spans="1:22">
      <c r="B96" s="564"/>
      <c r="C96" s="571" t="s">
        <v>758</v>
      </c>
      <c r="D96" s="552">
        <v>2006</v>
      </c>
      <c r="E96" s="9">
        <v>70.7</v>
      </c>
      <c r="F96" s="9">
        <v>70.7</v>
      </c>
      <c r="G96" s="552" t="s">
        <v>753</v>
      </c>
      <c r="H96" s="402" t="s">
        <v>754</v>
      </c>
      <c r="I96" s="552" t="s">
        <v>756</v>
      </c>
      <c r="J96" s="9">
        <f>E96/1.256*550.8/499.6*0.4</f>
        <v>24.82340012137098</v>
      </c>
      <c r="K96" s="555">
        <f>F96/1.256*550.8/499.6*0.4</f>
        <v>24.82340012137098</v>
      </c>
      <c r="O96" s="351"/>
      <c r="P96" s="351"/>
      <c r="Q96" s="351"/>
      <c r="R96" s="351"/>
      <c r="S96" s="351"/>
    </row>
    <row r="97" spans="2:19">
      <c r="B97" s="564"/>
      <c r="C97" s="571" t="s">
        <v>748</v>
      </c>
      <c r="D97" s="552">
        <v>2006</v>
      </c>
      <c r="E97" s="9">
        <v>85</v>
      </c>
      <c r="F97" s="9">
        <v>85</v>
      </c>
      <c r="G97" s="553" t="s">
        <v>753</v>
      </c>
      <c r="H97" s="402" t="s">
        <v>754</v>
      </c>
      <c r="I97" s="553" t="s">
        <v>756</v>
      </c>
      <c r="J97" s="9">
        <f>E97/1.256*550.8/499.6*0.4</f>
        <v>29.844257571662425</v>
      </c>
      <c r="K97" s="555">
        <f>F97/1.256*550.8/499.6*0.4</f>
        <v>29.844257571662425</v>
      </c>
      <c r="Q97" s="351"/>
      <c r="R97" s="351"/>
      <c r="S97" s="351"/>
    </row>
    <row r="98" spans="2:19">
      <c r="B98" s="564"/>
      <c r="C98" s="571" t="s">
        <v>749</v>
      </c>
      <c r="D98" s="552">
        <v>2001</v>
      </c>
      <c r="E98" s="550">
        <v>29</v>
      </c>
      <c r="F98" s="552">
        <v>33</v>
      </c>
      <c r="G98" s="553" t="s">
        <v>753</v>
      </c>
      <c r="H98" s="402" t="s">
        <v>754</v>
      </c>
      <c r="I98" s="553" t="s">
        <v>756</v>
      </c>
      <c r="J98" s="9">
        <f>E98/0.896*550.8/394.6*0.4</f>
        <v>18.071193251755844</v>
      </c>
      <c r="K98" s="555">
        <f>F98/0.896*550.8/394.6*0.4</f>
        <v>20.563771631308374</v>
      </c>
      <c r="Q98" s="347"/>
      <c r="R98" s="347"/>
      <c r="S98" s="347"/>
    </row>
    <row r="99" spans="2:19">
      <c r="B99" s="564"/>
      <c r="C99" s="571" t="s">
        <v>207</v>
      </c>
      <c r="D99" s="552">
        <v>1998</v>
      </c>
      <c r="E99" s="9">
        <v>40</v>
      </c>
      <c r="F99" s="9">
        <v>60</v>
      </c>
      <c r="G99" s="553" t="s">
        <v>753</v>
      </c>
      <c r="H99" s="402" t="s">
        <v>754</v>
      </c>
      <c r="I99" s="553" t="s">
        <v>756</v>
      </c>
      <c r="J99" s="9">
        <f>E99/1.121*550.8/389.5*0.4</f>
        <v>20.183702658661403</v>
      </c>
      <c r="K99" s="555">
        <f>F99/1.121*550.8/389.5*0.4</f>
        <v>30.275553987992108</v>
      </c>
      <c r="O99" s="347"/>
      <c r="P99" s="347"/>
      <c r="Q99" s="347"/>
      <c r="R99" s="347"/>
      <c r="S99" s="347"/>
    </row>
    <row r="100" spans="2:19">
      <c r="B100" s="564"/>
      <c r="C100" s="571" t="s">
        <v>511</v>
      </c>
      <c r="D100" s="552">
        <v>2008</v>
      </c>
      <c r="E100" s="9">
        <v>25.8</v>
      </c>
      <c r="F100" s="9">
        <v>41.8</v>
      </c>
      <c r="G100" s="553" t="s">
        <v>123</v>
      </c>
      <c r="H100" s="402" t="s">
        <v>754</v>
      </c>
      <c r="I100" s="553" t="s">
        <v>761</v>
      </c>
      <c r="J100" s="9">
        <f>E100*550.8/575.4</f>
        <v>24.696976016684047</v>
      </c>
      <c r="K100" s="555">
        <f>F100*550.8/575.4</f>
        <v>40.012930135557866</v>
      </c>
      <c r="O100" s="351"/>
      <c r="P100" s="351"/>
      <c r="Q100" s="347"/>
      <c r="R100" s="347"/>
      <c r="S100" s="347"/>
    </row>
    <row r="101" spans="2:19">
      <c r="B101" s="564"/>
      <c r="C101" s="571" t="s">
        <v>765</v>
      </c>
      <c r="D101" s="552">
        <v>1983</v>
      </c>
      <c r="E101" s="9">
        <v>13.3</v>
      </c>
      <c r="F101" s="9">
        <v>13.3</v>
      </c>
      <c r="G101" s="553" t="s">
        <v>123</v>
      </c>
      <c r="H101" s="402" t="s">
        <v>754</v>
      </c>
      <c r="I101" s="553" t="s">
        <v>761</v>
      </c>
      <c r="J101" s="9">
        <f>E101*550.8/314</f>
        <v>23.330063694267515</v>
      </c>
      <c r="K101" s="555">
        <f>F101*550.8/314</f>
        <v>23.330063694267515</v>
      </c>
      <c r="Q101" s="347"/>
      <c r="R101" s="347"/>
      <c r="S101" s="347"/>
    </row>
    <row r="102" spans="2:19">
      <c r="B102" s="564"/>
      <c r="C102" s="571" t="s">
        <v>763</v>
      </c>
      <c r="D102" s="412">
        <v>1982</v>
      </c>
      <c r="E102" s="550">
        <v>9.65</v>
      </c>
      <c r="F102" s="550">
        <v>9.65</v>
      </c>
      <c r="G102" s="553" t="s">
        <v>753</v>
      </c>
      <c r="H102" s="402" t="s">
        <v>754</v>
      </c>
      <c r="I102" s="553" t="s">
        <v>761</v>
      </c>
      <c r="J102" s="9">
        <f>E102/0.9797*550.8/314</f>
        <v>17.278199682861448</v>
      </c>
      <c r="K102" s="555">
        <f>F102/0.9797*550.8/314</f>
        <v>17.278199682861448</v>
      </c>
      <c r="Q102" s="347"/>
      <c r="R102" s="347"/>
      <c r="S102" s="347"/>
    </row>
    <row r="103" spans="2:19">
      <c r="B103" s="564"/>
      <c r="C103" s="571" t="s">
        <v>766</v>
      </c>
      <c r="D103" s="552">
        <v>1985</v>
      </c>
      <c r="E103" s="40">
        <v>43</v>
      </c>
      <c r="F103" s="40">
        <v>43</v>
      </c>
      <c r="G103" s="552" t="s">
        <v>753</v>
      </c>
      <c r="H103" s="402" t="s">
        <v>754</v>
      </c>
      <c r="I103" s="552" t="s">
        <v>756</v>
      </c>
      <c r="J103" s="9">
        <f>E103/0.76*550.8/325.3*0.4</f>
        <v>38.319931399356058</v>
      </c>
      <c r="K103" s="555">
        <f>F103/0.76*550.8/325.3*0.4</f>
        <v>38.319931399356058</v>
      </c>
      <c r="Q103" s="347"/>
      <c r="R103" s="347"/>
      <c r="S103" s="347"/>
    </row>
    <row r="104" spans="2:19">
      <c r="C104" s="571" t="s">
        <v>762</v>
      </c>
      <c r="D104" s="552">
        <v>1997</v>
      </c>
      <c r="E104" s="40">
        <v>19</v>
      </c>
      <c r="F104" s="40">
        <v>19</v>
      </c>
      <c r="G104" s="552" t="s">
        <v>753</v>
      </c>
      <c r="H104" s="402" t="s">
        <v>754</v>
      </c>
      <c r="I104" s="552" t="s">
        <v>761</v>
      </c>
      <c r="J104" s="9">
        <f>E104/1.135*550.8/386.5</f>
        <v>23.856249750671051</v>
      </c>
      <c r="K104" s="555">
        <f>F104/1.135*550.8/386.5</f>
        <v>23.856249750671051</v>
      </c>
      <c r="Q104" s="347"/>
      <c r="R104" s="347"/>
      <c r="S104" s="347"/>
    </row>
    <row r="105" spans="2:19" ht="15.75" thickBot="1">
      <c r="C105" s="572" t="s">
        <v>207</v>
      </c>
      <c r="D105" s="373">
        <v>1995</v>
      </c>
      <c r="E105" s="567">
        <v>9</v>
      </c>
      <c r="F105" s="567">
        <v>30</v>
      </c>
      <c r="G105" s="556" t="s">
        <v>753</v>
      </c>
      <c r="H105" s="4" t="s">
        <v>754</v>
      </c>
      <c r="I105" s="504" t="s">
        <v>761</v>
      </c>
      <c r="J105" s="557">
        <f>E105/1.308*550.8/381.1</f>
        <v>9.9446556202590752</v>
      </c>
      <c r="K105" s="558">
        <f>F105/1.308*550.8/381.1</f>
        <v>33.14885206753025</v>
      </c>
      <c r="Q105" s="347"/>
      <c r="R105" s="347"/>
      <c r="S105" s="347"/>
    </row>
    <row r="106" spans="2:19">
      <c r="Q106" s="347"/>
      <c r="R106" s="347"/>
      <c r="S106" s="347"/>
    </row>
    <row r="107" spans="2:19">
      <c r="Q107" s="347"/>
      <c r="R107" s="347"/>
      <c r="S107" s="347"/>
    </row>
    <row r="108" spans="2:19">
      <c r="Q108" s="347"/>
      <c r="R108" s="347"/>
      <c r="S108" s="347"/>
    </row>
    <row r="109" spans="2:19">
      <c r="Q109" s="347"/>
      <c r="R109" s="347"/>
      <c r="S109" s="347"/>
    </row>
  </sheetData>
  <mergeCells count="20">
    <mergeCell ref="P65:Q65"/>
    <mergeCell ref="C92:C93"/>
    <mergeCell ref="D92:D93"/>
    <mergeCell ref="E92:I92"/>
    <mergeCell ref="J92:K92"/>
    <mergeCell ref="P73:Q73"/>
    <mergeCell ref="P82:Q82"/>
    <mergeCell ref="O39:O40"/>
    <mergeCell ref="P43:Q43"/>
    <mergeCell ref="P56:Q56"/>
    <mergeCell ref="C64:E64"/>
    <mergeCell ref="O4:P4"/>
    <mergeCell ref="P61:Q61"/>
    <mergeCell ref="C8:E8"/>
    <mergeCell ref="C13:E13"/>
    <mergeCell ref="O14:R14"/>
    <mergeCell ref="O37:O38"/>
    <mergeCell ref="P35:R35"/>
    <mergeCell ref="C34:E34"/>
    <mergeCell ref="C51:E51"/>
  </mergeCells>
  <conditionalFormatting sqref="C13 C34">
    <cfRule type="expression" dxfId="3" priority="2">
      <formula>Method_2</formula>
    </cfRule>
  </conditionalFormatting>
  <dataValidations count="2">
    <dataValidation type="list" allowBlank="1" showInputMessage="1" showErrorMessage="1" sqref="D36 D46:D47 D42 D14">
      <formula1>"Y,N"</formula1>
    </dataValidation>
    <dataValidation type="list" allowBlank="1" showInputMessage="1" showErrorMessage="1" sqref="D40">
      <formula1>$P$45:$P$51</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5</vt:i4>
      </vt:variant>
    </vt:vector>
  </HeadingPairs>
  <TitlesOfParts>
    <vt:vector size="20" baseType="lpstr">
      <vt:lpstr>Explanation</vt:lpstr>
      <vt:lpstr>Solid fuels - emission calc.</vt:lpstr>
      <vt:lpstr>Liquid fuels - emission calc.</vt:lpstr>
      <vt:lpstr>Natural gas - emission calc.</vt:lpstr>
      <vt:lpstr>Solid fuels - NOx Analysis</vt:lpstr>
      <vt:lpstr>Liquid fuels - NOx Analysis</vt:lpstr>
      <vt:lpstr>Natural gas - NOx Analysis</vt:lpstr>
      <vt:lpstr>Solid fuels_Fabric_Filter</vt:lpstr>
      <vt:lpstr>Solid fuels_ESP</vt:lpstr>
      <vt:lpstr>Liquid fuels_ESP</vt:lpstr>
      <vt:lpstr>Solid fuels_DeSO2 </vt:lpstr>
      <vt:lpstr>Solid fuel_Fabric_Filter DSI </vt:lpstr>
      <vt:lpstr>Liquid fuels_DeSO2</vt:lpstr>
      <vt:lpstr>Liquid fuel_Fabric_Filter DSI</vt:lpstr>
      <vt:lpstr>SUIVI</vt:lpstr>
      <vt:lpstr>'Liquid fuels_ESP'!Method_2</vt:lpstr>
      <vt:lpstr>Method_2</vt:lpstr>
      <vt:lpstr>'Liquid fuels - emission calc.'!Zone_d_impression</vt:lpstr>
      <vt:lpstr>'Natural gas - emission calc.'!Zone_d_impression</vt:lpstr>
      <vt:lpstr>'Solid fuels - emission calc.'!Zone_d_impression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beerbühl</dc:creator>
  <cp:lastModifiedBy>Nadine NA. ALLEMAND</cp:lastModifiedBy>
  <cp:lastPrinted>2013-06-12T13:31:23Z</cp:lastPrinted>
  <dcterms:created xsi:type="dcterms:W3CDTF">2012-11-07T17:20:50Z</dcterms:created>
  <dcterms:modified xsi:type="dcterms:W3CDTF">2014-10-01T18:23:12Z</dcterms:modified>
</cp:coreProperties>
</file>